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МЖК 1" sheetId="4" r:id="rId1"/>
    <sheet name="МЖК 7" sheetId="5" r:id="rId2"/>
    <sheet name="МЖК 9" sheetId="6" r:id="rId3"/>
    <sheet name="МЖК 10" sheetId="7" r:id="rId4"/>
    <sheet name="МЖК 11" sheetId="8" r:id="rId5"/>
    <sheet name="МЖК 18" sheetId="9" r:id="rId6"/>
  </sheets>
  <calcPr calcId="125725"/>
</workbook>
</file>

<file path=xl/calcChain.xml><?xml version="1.0" encoding="utf-8"?>
<calcChain xmlns="http://schemas.openxmlformats.org/spreadsheetml/2006/main">
  <c r="C17" i="9"/>
  <c r="G18"/>
  <c r="G19"/>
  <c r="G20"/>
  <c r="C24"/>
  <c r="G24"/>
  <c r="C27"/>
  <c r="G27"/>
  <c r="G30"/>
  <c r="C31"/>
  <c r="G32"/>
  <c r="G33"/>
  <c r="G34"/>
  <c r="G35"/>
  <c r="G36"/>
  <c r="G37"/>
  <c r="G38"/>
  <c r="F44"/>
  <c r="C47"/>
  <c r="C48"/>
  <c r="C17" i="8"/>
  <c r="G18"/>
  <c r="G19"/>
  <c r="G20"/>
  <c r="C24"/>
  <c r="G24"/>
  <c r="C27"/>
  <c r="G27"/>
  <c r="G30"/>
  <c r="C31"/>
  <c r="G32"/>
  <c r="G33"/>
  <c r="G34"/>
  <c r="G35"/>
  <c r="G36"/>
  <c r="G37"/>
  <c r="G38"/>
  <c r="C39"/>
  <c r="C43" s="1"/>
  <c r="F44"/>
  <c r="C47"/>
  <c r="C48" s="1"/>
  <c r="C17" i="7"/>
  <c r="G18"/>
  <c r="G19"/>
  <c r="G20"/>
  <c r="C24"/>
  <c r="G24"/>
  <c r="C27"/>
  <c r="G27"/>
  <c r="G30"/>
  <c r="C31"/>
  <c r="G32"/>
  <c r="G33"/>
  <c r="G34"/>
  <c r="G35"/>
  <c r="G36"/>
  <c r="G37"/>
  <c r="G38"/>
  <c r="F44"/>
  <c r="C47"/>
  <c r="C48"/>
  <c r="C17" i="6"/>
  <c r="G18"/>
  <c r="G19"/>
  <c r="G20"/>
  <c r="C24"/>
  <c r="G24"/>
  <c r="C27"/>
  <c r="G27"/>
  <c r="G30"/>
  <c r="C31"/>
  <c r="G32"/>
  <c r="G33"/>
  <c r="G34"/>
  <c r="G35"/>
  <c r="G36"/>
  <c r="G37"/>
  <c r="G38"/>
  <c r="C39"/>
  <c r="C43" s="1"/>
  <c r="F44"/>
  <c r="C47"/>
  <c r="C48"/>
  <c r="C17" i="5"/>
  <c r="G18"/>
  <c r="G19"/>
  <c r="G20"/>
  <c r="C24"/>
  <c r="G24"/>
  <c r="C27"/>
  <c r="G27"/>
  <c r="G30"/>
  <c r="C31"/>
  <c r="G32"/>
  <c r="G33"/>
  <c r="G34"/>
  <c r="G35"/>
  <c r="G36"/>
  <c r="G37"/>
  <c r="G38"/>
  <c r="C39"/>
  <c r="C43" s="1"/>
  <c r="F44"/>
  <c r="C47"/>
  <c r="C48" s="1"/>
  <c r="C17" i="4"/>
  <c r="G18"/>
  <c r="G19"/>
  <c r="G20"/>
  <c r="C24"/>
  <c r="G24"/>
  <c r="C27"/>
  <c r="G27"/>
  <c r="G30"/>
  <c r="C31"/>
  <c r="G32"/>
  <c r="G33"/>
  <c r="G34"/>
  <c r="G35"/>
  <c r="G36"/>
  <c r="G37"/>
  <c r="G38"/>
  <c r="C47"/>
  <c r="C48" s="1"/>
  <c r="G31" l="1"/>
  <c r="G17"/>
  <c r="C39"/>
  <c r="C43" s="1"/>
  <c r="G31" i="5"/>
  <c r="G17"/>
  <c r="G31" i="6"/>
  <c r="G17"/>
  <c r="G39" s="1"/>
  <c r="G43" s="1"/>
  <c r="G31" i="7"/>
  <c r="G17"/>
  <c r="G39" s="1"/>
  <c r="G43" s="1"/>
  <c r="G45" s="1"/>
  <c r="C39"/>
  <c r="C43" s="1"/>
  <c r="G31" i="8"/>
  <c r="G17"/>
  <c r="G39" s="1"/>
  <c r="G43" s="1"/>
  <c r="G45" s="1"/>
  <c r="G31" i="9"/>
  <c r="G17"/>
  <c r="G39" s="1"/>
  <c r="G43" s="1"/>
  <c r="G45" s="1"/>
  <c r="C39"/>
  <c r="C43" s="1"/>
  <c r="D18" i="4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D26" i="5"/>
  <c r="F26"/>
  <c r="D28"/>
  <c r="F28"/>
  <c r="D30"/>
  <c r="F30"/>
  <c r="D18"/>
  <c r="F18"/>
  <c r="D19"/>
  <c r="F19"/>
  <c r="D20"/>
  <c r="F20"/>
  <c r="D21"/>
  <c r="F21"/>
  <c r="D25"/>
  <c r="F25"/>
  <c r="F24" s="1"/>
  <c r="D29"/>
  <c r="F29"/>
  <c r="D32"/>
  <c r="F32"/>
  <c r="D33"/>
  <c r="F33"/>
  <c r="D34"/>
  <c r="F34"/>
  <c r="D35"/>
  <c r="F35"/>
  <c r="D36"/>
  <c r="F36"/>
  <c r="D37"/>
  <c r="F37"/>
  <c r="D38"/>
  <c r="F38"/>
  <c r="D18" i="7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D18" i="9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G39" i="4"/>
  <c r="G43" s="1"/>
  <c r="G45" s="1"/>
  <c r="G39" i="5"/>
  <c r="G43" s="1"/>
  <c r="G45" s="1"/>
  <c r="D26" i="6"/>
  <c r="F26"/>
  <c r="D28"/>
  <c r="F28"/>
  <c r="D30"/>
  <c r="F30"/>
  <c r="D18"/>
  <c r="F18"/>
  <c r="D19"/>
  <c r="F19"/>
  <c r="D20"/>
  <c r="F20"/>
  <c r="D21"/>
  <c r="F21"/>
  <c r="D25"/>
  <c r="F25"/>
  <c r="F24" s="1"/>
  <c r="D29"/>
  <c r="F29"/>
  <c r="D32"/>
  <c r="F32"/>
  <c r="D33"/>
  <c r="F33"/>
  <c r="D34"/>
  <c r="F34"/>
  <c r="D35"/>
  <c r="F35"/>
  <c r="D36"/>
  <c r="F36"/>
  <c r="D37"/>
  <c r="F37"/>
  <c r="D38"/>
  <c r="F38"/>
  <c r="D26" i="8"/>
  <c r="F26"/>
  <c r="D28"/>
  <c r="F28"/>
  <c r="D30"/>
  <c r="F30"/>
  <c r="D18"/>
  <c r="F18"/>
  <c r="D19"/>
  <c r="F19"/>
  <c r="D20"/>
  <c r="F20"/>
  <c r="D21"/>
  <c r="F21"/>
  <c r="D25"/>
  <c r="F25"/>
  <c r="F24" s="1"/>
  <c r="D29"/>
  <c r="F29"/>
  <c r="D32"/>
  <c r="F32"/>
  <c r="D33"/>
  <c r="F33"/>
  <c r="D34"/>
  <c r="F34"/>
  <c r="D35"/>
  <c r="F35"/>
  <c r="D36"/>
  <c r="F36"/>
  <c r="D37"/>
  <c r="F37"/>
  <c r="D38"/>
  <c r="F38"/>
  <c r="F31" i="7" l="1"/>
  <c r="D31" i="8"/>
  <c r="D24"/>
  <c r="D17"/>
  <c r="D27"/>
  <c r="D31" i="6"/>
  <c r="D24"/>
  <c r="D17"/>
  <c r="D27"/>
  <c r="D27" i="9"/>
  <c r="D31"/>
  <c r="D24"/>
  <c r="D17"/>
  <c r="D27" i="7"/>
  <c r="D31"/>
  <c r="D24"/>
  <c r="D17"/>
  <c r="D31" i="5"/>
  <c r="D24"/>
  <c r="D17"/>
  <c r="D27"/>
  <c r="D27" i="4"/>
  <c r="D31"/>
  <c r="D24"/>
  <c r="D17"/>
  <c r="F31" i="8"/>
  <c r="F27"/>
  <c r="F27" i="6"/>
  <c r="F31" i="9"/>
  <c r="F24"/>
  <c r="F17"/>
  <c r="F39" s="1"/>
  <c r="F24" i="7"/>
  <c r="F17" i="8"/>
  <c r="F39" s="1"/>
  <c r="F31" i="6"/>
  <c r="F17"/>
  <c r="F39" s="1"/>
  <c r="F17" i="7"/>
  <c r="F39" s="1"/>
  <c r="F31" i="5"/>
  <c r="F17"/>
  <c r="F27"/>
  <c r="F31" i="4"/>
  <c r="F24"/>
  <c r="F17"/>
  <c r="D39" i="5" l="1"/>
  <c r="D39" i="6"/>
  <c r="D39" i="8"/>
  <c r="E40" i="5"/>
  <c r="E39"/>
  <c r="E40" i="6"/>
  <c r="E39"/>
  <c r="E40" i="8"/>
  <c r="E39"/>
  <c r="F39" i="4"/>
  <c r="F39" i="5"/>
  <c r="E26"/>
  <c r="E19"/>
  <c r="E21"/>
  <c r="E33"/>
  <c r="E35"/>
  <c r="E37"/>
  <c r="E26" i="6"/>
  <c r="E19"/>
  <c r="E21"/>
  <c r="E33"/>
  <c r="E35"/>
  <c r="E37"/>
  <c r="E26" i="8"/>
  <c r="E19"/>
  <c r="E21"/>
  <c r="E33"/>
  <c r="E35"/>
  <c r="E37"/>
  <c r="D39" i="4"/>
  <c r="E18" i="5"/>
  <c r="E25"/>
  <c r="E24" s="1"/>
  <c r="E32"/>
  <c r="D39" i="7"/>
  <c r="D39" i="9"/>
  <c r="E18" i="6"/>
  <c r="E25"/>
  <c r="E24" s="1"/>
  <c r="E32"/>
  <c r="E18" i="8"/>
  <c r="E25"/>
  <c r="E24" s="1"/>
  <c r="E32"/>
  <c r="E28" l="1"/>
  <c r="E38"/>
  <c r="E36"/>
  <c r="E34"/>
  <c r="E29"/>
  <c r="E20"/>
  <c r="E30"/>
  <c r="E28" i="6"/>
  <c r="E38"/>
  <c r="E36"/>
  <c r="E34"/>
  <c r="E29"/>
  <c r="E20"/>
  <c r="E30"/>
  <c r="E28" i="5"/>
  <c r="E38"/>
  <c r="E36"/>
  <c r="E34"/>
  <c r="E29"/>
  <c r="E20"/>
  <c r="E30"/>
  <c r="E31" i="8"/>
  <c r="E17"/>
  <c r="E31" i="5"/>
  <c r="E17"/>
  <c r="E39" i="9"/>
  <c r="E40"/>
  <c r="E34"/>
  <c r="E28"/>
  <c r="E26"/>
  <c r="E37"/>
  <c r="E35"/>
  <c r="E33"/>
  <c r="E21"/>
  <c r="E19"/>
  <c r="E32"/>
  <c r="E25"/>
  <c r="E24" s="1"/>
  <c r="E18"/>
  <c r="E30"/>
  <c r="E38"/>
  <c r="E36"/>
  <c r="E29"/>
  <c r="E20"/>
  <c r="E41" i="8"/>
  <c r="E43"/>
  <c r="E41" i="6"/>
  <c r="E43"/>
  <c r="E41" i="5"/>
  <c r="E43"/>
  <c r="E39" i="7"/>
  <c r="E40"/>
  <c r="E28"/>
  <c r="E26"/>
  <c r="E37"/>
  <c r="E35"/>
  <c r="E33"/>
  <c r="E21"/>
  <c r="E19"/>
  <c r="E32"/>
  <c r="E25"/>
  <c r="E18"/>
  <c r="E30"/>
  <c r="E38"/>
  <c r="E36"/>
  <c r="E34"/>
  <c r="E29"/>
  <c r="E20"/>
  <c r="E39" i="4"/>
  <c r="E40"/>
  <c r="E30"/>
  <c r="E20"/>
  <c r="E28"/>
  <c r="E26"/>
  <c r="E37"/>
  <c r="E35"/>
  <c r="E33"/>
  <c r="E21"/>
  <c r="E19"/>
  <c r="E32"/>
  <c r="E25"/>
  <c r="E18"/>
  <c r="E17" s="1"/>
  <c r="E38"/>
  <c r="E36"/>
  <c r="E34"/>
  <c r="E29"/>
  <c r="E31" i="6"/>
  <c r="E17"/>
  <c r="E27" i="9" l="1"/>
  <c r="E27" i="5"/>
  <c r="E27" i="6"/>
  <c r="E27" i="8"/>
  <c r="E41" i="4"/>
  <c r="E43"/>
  <c r="E41" i="7"/>
  <c r="E43"/>
  <c r="E41" i="9"/>
  <c r="E43"/>
  <c r="E31" i="4"/>
  <c r="E17" i="7"/>
  <c r="E31"/>
  <c r="E24" i="4"/>
  <c r="E27"/>
  <c r="E24" i="7"/>
  <c r="E27"/>
  <c r="E17" i="9"/>
  <c r="E31"/>
</calcChain>
</file>

<file path=xl/sharedStrings.xml><?xml version="1.0" encoding="utf-8"?>
<sst xmlns="http://schemas.openxmlformats.org/spreadsheetml/2006/main" count="300" uniqueCount="60">
  <si>
    <t>Управляющая компания  ООО " ЖЭК"</t>
  </si>
  <si>
    <t>ИТОГО:</t>
  </si>
  <si>
    <t>руб</t>
  </si>
  <si>
    <t xml:space="preserve">Задолженность за 2013г </t>
  </si>
  <si>
    <t>Задолженность на 01.01.2013г -</t>
  </si>
  <si>
    <t>Резерв</t>
  </si>
  <si>
    <t>Уровень оплаты</t>
  </si>
  <si>
    <t>Всего</t>
  </si>
  <si>
    <t xml:space="preserve"> Итого прямые расходы</t>
  </si>
  <si>
    <t>Услуги РКЦ (квитанция, услуги банка)</t>
  </si>
  <si>
    <t>6.</t>
  </si>
  <si>
    <t xml:space="preserve">- прочие расходы </t>
  </si>
  <si>
    <t>- аренда зданий, имущества</t>
  </si>
  <si>
    <t>- расходы на коммунальные услуги</t>
  </si>
  <si>
    <t>- затраты на ГСМ</t>
  </si>
  <si>
    <t>-расходы на автопарк (з/плата, ЕСН, запчасти)</t>
  </si>
  <si>
    <t>- содержание аппарата управления, амортизация,налоги</t>
  </si>
  <si>
    <t>Общеэксплуатационные расходы, в т.ч.</t>
  </si>
  <si>
    <t>5.</t>
  </si>
  <si>
    <t>Услуги аварийно-диспетчерской службы</t>
  </si>
  <si>
    <t>4.</t>
  </si>
  <si>
    <t>конструктиные элементы здания</t>
  </si>
  <si>
    <t>внутридомовое инжинерное оборудование</t>
  </si>
  <si>
    <t>Проведение технических осмотров,ремонт</t>
  </si>
  <si>
    <t>3.</t>
  </si>
  <si>
    <t>- конструктивные элементы зданий</t>
  </si>
  <si>
    <t>- внутридомовое инженерное оборудование</t>
  </si>
  <si>
    <t>к сезонной эксплуатации, всего:</t>
  </si>
  <si>
    <t xml:space="preserve">Подготовка многоквартирного дома </t>
  </si>
  <si>
    <t>2.</t>
  </si>
  <si>
    <t>- дезинсекция</t>
  </si>
  <si>
    <t xml:space="preserve">- электроэнергия </t>
  </si>
  <si>
    <t>-уборка лестничных клеток</t>
  </si>
  <si>
    <t>- уборка территории</t>
  </si>
  <si>
    <t>общего пользования, в т.ч.</t>
  </si>
  <si>
    <t>придомовых территорий и мест</t>
  </si>
  <si>
    <t>Содержание и благоустройство</t>
  </si>
  <si>
    <t>1.</t>
  </si>
  <si>
    <t>оплачено</t>
  </si>
  <si>
    <t>начислено</t>
  </si>
  <si>
    <t>на 1 кв.м</t>
  </si>
  <si>
    <t>Сумма расходов факт всего, руб.</t>
  </si>
  <si>
    <t>Сумма доходов всего, руб.</t>
  </si>
  <si>
    <t>Наименование статьи</t>
  </si>
  <si>
    <t>№ п/п</t>
  </si>
  <si>
    <t>за  2013 год</t>
  </si>
  <si>
    <t>по многоквартирному дому :  мкр  МЖК  дом.№1</t>
  </si>
  <si>
    <t xml:space="preserve"> Учет доходов и расходов по оплате за управление, содержание и текуший ремонт </t>
  </si>
  <si>
    <t>Резерв на текущий ремонт  подъездов -</t>
  </si>
  <si>
    <t xml:space="preserve">по многоквартирному дому : мкр   МЖК   дом № 7 </t>
  </si>
  <si>
    <t>2013г</t>
  </si>
  <si>
    <t xml:space="preserve"> Текущий ремонт  подъездов -</t>
  </si>
  <si>
    <t>по многоквартирному дому :  мкр  МЖК    дом № 9</t>
  </si>
  <si>
    <t>Резерв -</t>
  </si>
  <si>
    <t>по многоквартирному дому :  мкр   МЖК   дом № 10</t>
  </si>
  <si>
    <t>Резерв  -</t>
  </si>
  <si>
    <t>по многоквартирному дому :  мкр   МЖК   дом № 11</t>
  </si>
  <si>
    <t xml:space="preserve"> Учет  доходов и  расходов по оплате за управление, содержание и текуший ремонт </t>
  </si>
  <si>
    <t>по многоквартирному дому :  мкр   МЖК   дом № 18</t>
  </si>
  <si>
    <t xml:space="preserve"> Учет   доходов и расходов по оплате за управление, содержание и текуший ремонт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</si>
</sst>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4" fontId="2" fillId="0" borderId="0" xfId="1" applyNumberFormat="1" applyFont="1"/>
    <xf numFmtId="4" fontId="3" fillId="0" borderId="0" xfId="1" applyNumberFormat="1" applyFont="1"/>
    <xf numFmtId="0" fontId="3" fillId="0" borderId="0" xfId="1" applyFont="1"/>
    <xf numFmtId="0" fontId="4" fillId="0" borderId="0" xfId="1" applyFont="1"/>
    <xf numFmtId="10" fontId="2" fillId="0" borderId="0" xfId="1" applyNumberFormat="1" applyFont="1"/>
    <xf numFmtId="4" fontId="5" fillId="2" borderId="1" xfId="1" applyNumberFormat="1" applyFont="1" applyFill="1" applyBorder="1"/>
    <xf numFmtId="4" fontId="5" fillId="2" borderId="2" xfId="1" applyNumberFormat="1" applyFont="1" applyFill="1" applyBorder="1"/>
    <xf numFmtId="4" fontId="5" fillId="2" borderId="3" xfId="1" applyNumberFormat="1" applyFont="1" applyFill="1" applyBorder="1"/>
    <xf numFmtId="4" fontId="5" fillId="2" borderId="4" xfId="1" applyNumberFormat="1" applyFont="1" applyFill="1" applyBorder="1"/>
    <xf numFmtId="49" fontId="5" fillId="2" borderId="2" xfId="1" applyNumberFormat="1" applyFont="1" applyFill="1" applyBorder="1"/>
    <xf numFmtId="0" fontId="5" fillId="2" borderId="5" xfId="1" applyFont="1" applyFill="1" applyBorder="1"/>
    <xf numFmtId="4" fontId="5" fillId="3" borderId="6" xfId="1" applyNumberFormat="1" applyFont="1" applyFill="1" applyBorder="1"/>
    <xf numFmtId="4" fontId="5" fillId="3" borderId="7" xfId="1" applyNumberFormat="1" applyFont="1" applyFill="1" applyBorder="1"/>
    <xf numFmtId="4" fontId="5" fillId="3" borderId="8" xfId="1" applyNumberFormat="1" applyFont="1" applyFill="1" applyBorder="1"/>
    <xf numFmtId="4" fontId="5" fillId="3" borderId="4" xfId="1" applyNumberFormat="1" applyFont="1" applyFill="1" applyBorder="1"/>
    <xf numFmtId="49" fontId="5" fillId="3" borderId="7" xfId="1" applyNumberFormat="1" applyFont="1" applyFill="1" applyBorder="1"/>
    <xf numFmtId="0" fontId="5" fillId="3" borderId="4" xfId="1" applyFont="1" applyFill="1" applyBorder="1"/>
    <xf numFmtId="4" fontId="5" fillId="2" borderId="6" xfId="1" applyNumberFormat="1" applyFont="1" applyFill="1" applyBorder="1"/>
    <xf numFmtId="4" fontId="5" fillId="2" borderId="7" xfId="1" applyNumberFormat="1" applyFont="1" applyFill="1" applyBorder="1"/>
    <xf numFmtId="4" fontId="5" fillId="2" borderId="8" xfId="1" applyNumberFormat="1" applyFont="1" applyFill="1" applyBorder="1"/>
    <xf numFmtId="49" fontId="5" fillId="2" borderId="7" xfId="1" applyNumberFormat="1" applyFont="1" applyFill="1" applyBorder="1"/>
    <xf numFmtId="0" fontId="5" fillId="2" borderId="4" xfId="1" applyFont="1" applyFill="1" applyBorder="1"/>
    <xf numFmtId="4" fontId="2" fillId="2" borderId="9" xfId="1" applyNumberFormat="1" applyFont="1" applyFill="1" applyBorder="1"/>
    <xf numFmtId="4" fontId="3" fillId="2" borderId="9" xfId="1" applyNumberFormat="1" applyFont="1" applyFill="1" applyBorder="1"/>
    <xf numFmtId="4" fontId="2" fillId="3" borderId="10" xfId="1" applyNumberFormat="1" applyFont="1" applyFill="1" applyBorder="1"/>
    <xf numFmtId="4" fontId="2" fillId="3" borderId="9" xfId="1" applyNumberFormat="1" applyFont="1" applyFill="1" applyBorder="1"/>
    <xf numFmtId="4" fontId="2" fillId="0" borderId="4" xfId="1" applyNumberFormat="1" applyFont="1" applyBorder="1"/>
    <xf numFmtId="49" fontId="2" fillId="0" borderId="7" xfId="1" applyNumberFormat="1" applyFont="1" applyBorder="1"/>
    <xf numFmtId="0" fontId="2" fillId="0" borderId="4" xfId="1" applyFont="1" applyBorder="1"/>
    <xf numFmtId="4" fontId="2" fillId="3" borderId="4" xfId="1" applyNumberFormat="1" applyFont="1" applyFill="1" applyBorder="1"/>
    <xf numFmtId="49" fontId="2" fillId="3" borderId="7" xfId="1" applyNumberFormat="1" applyFont="1" applyFill="1" applyBorder="1"/>
    <xf numFmtId="0" fontId="2" fillId="3" borderId="4" xfId="1" applyFont="1" applyFill="1" applyBorder="1"/>
    <xf numFmtId="4" fontId="6" fillId="3" borderId="6" xfId="1" applyNumberFormat="1" applyFont="1" applyFill="1" applyBorder="1"/>
    <xf numFmtId="49" fontId="2" fillId="3" borderId="11" xfId="1" applyNumberFormat="1" applyFont="1" applyFill="1" applyBorder="1"/>
    <xf numFmtId="4" fontId="2" fillId="3" borderId="12" xfId="1" applyNumberFormat="1" applyFont="1" applyFill="1" applyBorder="1"/>
    <xf numFmtId="4" fontId="5" fillId="2" borderId="10" xfId="1" applyNumberFormat="1" applyFont="1" applyFill="1" applyBorder="1"/>
    <xf numFmtId="4" fontId="5" fillId="2" borderId="13" xfId="1" applyNumberFormat="1" applyFont="1" applyFill="1" applyBorder="1"/>
    <xf numFmtId="4" fontId="5" fillId="2" borderId="14" xfId="1" applyNumberFormat="1" applyFont="1" applyFill="1" applyBorder="1"/>
    <xf numFmtId="4" fontId="5" fillId="2" borderId="12" xfId="1" applyNumberFormat="1" applyFont="1" applyFill="1" applyBorder="1"/>
    <xf numFmtId="0" fontId="5" fillId="2" borderId="15" xfId="1" applyFont="1" applyFill="1" applyBorder="1"/>
    <xf numFmtId="0" fontId="5" fillId="2" borderId="12" xfId="1" applyFont="1" applyFill="1" applyBorder="1"/>
    <xf numFmtId="4" fontId="5" fillId="2" borderId="16" xfId="1" applyNumberFormat="1" applyFont="1" applyFill="1" applyBorder="1"/>
    <xf numFmtId="4" fontId="5" fillId="2" borderId="17" xfId="1" applyNumberFormat="1" applyFont="1" applyFill="1" applyBorder="1"/>
    <xf numFmtId="4" fontId="5" fillId="2" borderId="18" xfId="1" applyNumberFormat="1" applyFont="1" applyFill="1" applyBorder="1"/>
    <xf numFmtId="4" fontId="5" fillId="2" borderId="0" xfId="1" applyNumberFormat="1" applyFont="1" applyFill="1" applyBorder="1"/>
    <xf numFmtId="4" fontId="5" fillId="2" borderId="19" xfId="1" applyNumberFormat="1" applyFont="1" applyFill="1" applyBorder="1"/>
    <xf numFmtId="0" fontId="5" fillId="2" borderId="20" xfId="1" applyFont="1" applyFill="1" applyBorder="1"/>
    <xf numFmtId="0" fontId="5" fillId="2" borderId="19" xfId="1" applyFont="1" applyFill="1" applyBorder="1"/>
    <xf numFmtId="4" fontId="5" fillId="2" borderId="21" xfId="1" applyNumberFormat="1" applyFont="1" applyFill="1" applyBorder="1"/>
    <xf numFmtId="4" fontId="5" fillId="2" borderId="22" xfId="1" applyNumberFormat="1" applyFont="1" applyFill="1" applyBorder="1"/>
    <xf numFmtId="4" fontId="5" fillId="2" borderId="23" xfId="1" applyNumberFormat="1" applyFont="1" applyFill="1" applyBorder="1"/>
    <xf numFmtId="4" fontId="5" fillId="2" borderId="24" xfId="1" applyNumberFormat="1" applyFont="1" applyFill="1" applyBorder="1"/>
    <xf numFmtId="4" fontId="5" fillId="2" borderId="25" xfId="1" applyNumberFormat="1" applyFont="1" applyFill="1" applyBorder="1"/>
    <xf numFmtId="0" fontId="5" fillId="2" borderId="26" xfId="1" applyFont="1" applyFill="1" applyBorder="1"/>
    <xf numFmtId="0" fontId="5" fillId="2" borderId="25" xfId="1" applyFont="1" applyFill="1" applyBorder="1"/>
    <xf numFmtId="4" fontId="2" fillId="3" borderId="16" xfId="1" applyNumberFormat="1" applyFont="1" applyFill="1" applyBorder="1"/>
    <xf numFmtId="4" fontId="2" fillId="3" borderId="25" xfId="1" applyNumberFormat="1" applyFont="1" applyFill="1" applyBorder="1"/>
    <xf numFmtId="49" fontId="2" fillId="3" borderId="15" xfId="1" applyNumberFormat="1" applyFont="1" applyFill="1" applyBorder="1"/>
    <xf numFmtId="0" fontId="2" fillId="3" borderId="12" xfId="1" applyFont="1" applyFill="1" applyBorder="1"/>
    <xf numFmtId="4" fontId="2" fillId="3" borderId="6" xfId="1" applyNumberFormat="1" applyFont="1" applyFill="1" applyBorder="1"/>
    <xf numFmtId="4" fontId="3" fillId="3" borderId="21" xfId="1" applyNumberFormat="1" applyFont="1" applyFill="1" applyBorder="1" applyAlignment="1">
      <alignment horizontal="center" vertical="center" wrapText="1"/>
    </xf>
    <xf numFmtId="4" fontId="3" fillId="3" borderId="26" xfId="1" applyNumberFormat="1" applyFont="1" applyFill="1" applyBorder="1" applyAlignment="1">
      <alignment horizontal="center"/>
    </xf>
    <xf numFmtId="4" fontId="3" fillId="3" borderId="8" xfId="1" applyNumberFormat="1" applyFont="1" applyFill="1" applyBorder="1" applyAlignment="1">
      <alignment horizontal="center"/>
    </xf>
    <xf numFmtId="4" fontId="3" fillId="3" borderId="27" xfId="1" applyNumberFormat="1" applyFont="1" applyFill="1" applyBorder="1" applyAlignment="1">
      <alignment horizontal="center"/>
    </xf>
    <xf numFmtId="4" fontId="3" fillId="3" borderId="25" xfId="1" applyNumberFormat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center"/>
    </xf>
    <xf numFmtId="4" fontId="3" fillId="2" borderId="28" xfId="1" applyNumberFormat="1" applyFont="1" applyFill="1" applyBorder="1" applyAlignment="1">
      <alignment horizontal="center"/>
    </xf>
    <xf numFmtId="4" fontId="3" fillId="2" borderId="29" xfId="1" applyNumberFormat="1" applyFont="1" applyFill="1" applyBorder="1" applyAlignment="1">
      <alignment horizontal="center"/>
    </xf>
    <xf numFmtId="4" fontId="3" fillId="2" borderId="19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/>
    <xf numFmtId="0" fontId="2" fillId="3" borderId="0" xfId="1" applyFont="1" applyFill="1"/>
    <xf numFmtId="4" fontId="7" fillId="3" borderId="0" xfId="1" applyNumberFormat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4" fontId="4" fillId="3" borderId="0" xfId="1" applyNumberFormat="1" applyFont="1" applyFill="1"/>
    <xf numFmtId="0" fontId="4" fillId="3" borderId="0" xfId="1" applyFont="1" applyFill="1"/>
    <xf numFmtId="4" fontId="8" fillId="3" borderId="9" xfId="1" applyNumberFormat="1" applyFont="1" applyFill="1" applyBorder="1"/>
    <xf numFmtId="0" fontId="7" fillId="3" borderId="0" xfId="1" applyFont="1" applyFill="1" applyAlignment="1">
      <alignment horizontal="center"/>
    </xf>
    <xf numFmtId="4" fontId="3" fillId="2" borderId="33" xfId="1" applyNumberFormat="1" applyFont="1" applyFill="1" applyBorder="1" applyAlignment="1">
      <alignment horizontal="center"/>
    </xf>
    <xf numFmtId="4" fontId="3" fillId="2" borderId="32" xfId="1" applyNumberFormat="1" applyFont="1" applyFill="1" applyBorder="1" applyAlignment="1">
      <alignment horizontal="center"/>
    </xf>
    <xf numFmtId="4" fontId="3" fillId="2" borderId="31" xfId="1" applyNumberFormat="1" applyFont="1" applyFill="1" applyBorder="1" applyAlignment="1">
      <alignment horizont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" fontId="3" fillId="2" borderId="30" xfId="1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22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47</v>
      </c>
      <c r="B7" s="80"/>
      <c r="C7" s="80"/>
      <c r="D7" s="80"/>
      <c r="E7" s="80"/>
      <c r="F7" s="80"/>
      <c r="G7" s="80"/>
    </row>
    <row r="8" spans="1:7" ht="18.75">
      <c r="A8" s="80" t="s">
        <v>46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2348.6999999999998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142613.44937652812</v>
      </c>
      <c r="E17" s="39">
        <f>SUM(E18:E21)</f>
        <v>30.929095354523231</v>
      </c>
      <c r="F17" s="38">
        <f>SUM(F18:F21)</f>
        <v>134079.55524449877</v>
      </c>
      <c r="G17" s="37">
        <f>G18+G19+G20+G21</f>
        <v>131621.14799999999</v>
      </c>
    </row>
    <row r="18" spans="1:7">
      <c r="A18" s="33"/>
      <c r="B18" s="35" t="s">
        <v>33</v>
      </c>
      <c r="C18" s="36">
        <v>2.58</v>
      </c>
      <c r="D18" s="27">
        <f>C18/C43*D43</f>
        <v>72715.948496332523</v>
      </c>
      <c r="E18" s="27">
        <f>D18/$D$39*100</f>
        <v>15.770171149144257</v>
      </c>
      <c r="F18" s="27">
        <f>C18/C43*F43</f>
        <v>68364.674413202927</v>
      </c>
      <c r="G18" s="61">
        <f>2.24*G11*12</f>
        <v>63133.055999999997</v>
      </c>
    </row>
    <row r="19" spans="1:7">
      <c r="A19" s="33"/>
      <c r="B19" s="35" t="s">
        <v>32</v>
      </c>
      <c r="C19" s="31">
        <v>1.75</v>
      </c>
      <c r="D19" s="27">
        <f>C19/C43*D43</f>
        <v>49322.833282396095</v>
      </c>
      <c r="E19" s="27">
        <f>D19/$D$39*100</f>
        <v>10.696821515892422</v>
      </c>
      <c r="F19" s="27">
        <f>C19/C43*F43</f>
        <v>46371.387683374087</v>
      </c>
      <c r="G19" s="61">
        <f>1.66*G11*12</f>
        <v>46786.103999999992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19447.288551344744</v>
      </c>
      <c r="E20" s="27">
        <f>D20/$D$39*100</f>
        <v>4.21760391198044</v>
      </c>
      <c r="F20" s="27">
        <f>C20/C43*F43</f>
        <v>18283.575715158924</v>
      </c>
      <c r="G20" s="61">
        <f>0.77*G11*12</f>
        <v>21701.987999999998</v>
      </c>
    </row>
    <row r="21" spans="1:7">
      <c r="A21" s="60"/>
      <c r="B21" s="59" t="s">
        <v>30</v>
      </c>
      <c r="C21" s="58">
        <v>0.04</v>
      </c>
      <c r="D21" s="27">
        <f>C21/C43*D43</f>
        <v>1127.3790464547678</v>
      </c>
      <c r="E21" s="27">
        <f>D21/$D$39*100</f>
        <v>0.24449877750611251</v>
      </c>
      <c r="F21" s="27">
        <f>C21/C43*F43</f>
        <v>1059.9174327628361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87653.720861858194</v>
      </c>
      <c r="E24" s="39">
        <f>E25+E26</f>
        <v>19.009779951100246</v>
      </c>
      <c r="F24" s="38">
        <f>F25+F26</f>
        <v>82408.580397310507</v>
      </c>
      <c r="G24" s="37">
        <f>G25+G26</f>
        <v>98400</v>
      </c>
    </row>
    <row r="25" spans="1:7">
      <c r="A25" s="33"/>
      <c r="B25" s="35" t="s">
        <v>26</v>
      </c>
      <c r="C25" s="36">
        <v>2.36</v>
      </c>
      <c r="D25" s="27">
        <f>C25/C43*D43</f>
        <v>66515.363740831293</v>
      </c>
      <c r="E25" s="27">
        <f>D25/$D$39*100</f>
        <v>14.425427872860636</v>
      </c>
      <c r="F25" s="27">
        <f>C25/C43*F43</f>
        <v>62535.12853300733</v>
      </c>
      <c r="G25" s="26">
        <v>41942</v>
      </c>
    </row>
    <row r="26" spans="1:7">
      <c r="A26" s="33"/>
      <c r="B26" s="35" t="s">
        <v>25</v>
      </c>
      <c r="C26" s="31">
        <v>0.75</v>
      </c>
      <c r="D26" s="27">
        <f>C26/C43*D43</f>
        <v>21138.357121026896</v>
      </c>
      <c r="E26" s="27">
        <f>D26/$D$39*100</f>
        <v>4.5843520782396094</v>
      </c>
      <c r="F26" s="27">
        <f>C26/C43*F43</f>
        <v>19873.451864303181</v>
      </c>
      <c r="G26" s="26">
        <v>56458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46222.540904645481</v>
      </c>
      <c r="E27" s="21">
        <f>E28+E29</f>
        <v>10.024449877750612</v>
      </c>
      <c r="F27" s="20">
        <f>F28+F29</f>
        <v>43456.614743276281</v>
      </c>
      <c r="G27" s="19">
        <f>G28+G29</f>
        <v>74072</v>
      </c>
    </row>
    <row r="28" spans="1:7">
      <c r="A28" s="33"/>
      <c r="B28" s="32" t="s">
        <v>22</v>
      </c>
      <c r="C28" s="31">
        <v>0.84</v>
      </c>
      <c r="D28" s="27">
        <f>C28/C43*D43</f>
        <v>23674.959975550122</v>
      </c>
      <c r="E28" s="27">
        <f>D28/$D$39*100</f>
        <v>5.1344743276283618</v>
      </c>
      <c r="F28" s="27">
        <f>C28/C43*F43</f>
        <v>22258.266088019558</v>
      </c>
      <c r="G28" s="26">
        <v>25681</v>
      </c>
    </row>
    <row r="29" spans="1:7">
      <c r="A29" s="33"/>
      <c r="B29" s="32" t="s">
        <v>21</v>
      </c>
      <c r="C29" s="31">
        <v>0.8</v>
      </c>
      <c r="D29" s="27">
        <f>C29/C43*D43</f>
        <v>22547.580929095358</v>
      </c>
      <c r="E29" s="27">
        <f>D29/$D$39*100</f>
        <v>4.8899755501222506</v>
      </c>
      <c r="F29" s="27">
        <f>C29/C43*F43</f>
        <v>21198.348655256723</v>
      </c>
      <c r="G29" s="26">
        <v>48391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34103.21615525672</v>
      </c>
      <c r="E30" s="25">
        <f>D30/$D$39*100</f>
        <v>7.3960880195599019</v>
      </c>
      <c r="F30" s="25">
        <f>C30/C43*F43</f>
        <v>32062.502341075789</v>
      </c>
      <c r="G30" s="19">
        <f>1.18*G11*12</f>
        <v>33257.59199999999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127957.52177261615</v>
      </c>
      <c r="E31" s="21">
        <f>SUM(E32:E37)</f>
        <v>27.750611246943773</v>
      </c>
      <c r="F31" s="20">
        <f>SUM(F32:F37)</f>
        <v>120300.6286185819</v>
      </c>
      <c r="G31" s="19">
        <f>G32+G33+G34+G35+G36+G37</f>
        <v>133875.89999999997</v>
      </c>
    </row>
    <row r="32" spans="1:7" ht="19.5">
      <c r="A32" s="18"/>
      <c r="B32" s="32" t="s">
        <v>16</v>
      </c>
      <c r="C32" s="31">
        <v>2.08</v>
      </c>
      <c r="D32" s="27">
        <f>C32/C43*D43</f>
        <v>58623.710415647925</v>
      </c>
      <c r="E32" s="27">
        <f t="shared" ref="E32:E40" si="0">D32/$D$39*100</f>
        <v>12.713936430317849</v>
      </c>
      <c r="F32" s="27">
        <f>C32/C43*F43</f>
        <v>55115.706503667483</v>
      </c>
      <c r="G32" s="34">
        <f>2.57*G11*12</f>
        <v>72433.907999999981</v>
      </c>
    </row>
    <row r="33" spans="1:7">
      <c r="A33" s="33"/>
      <c r="B33" s="32" t="s">
        <v>15</v>
      </c>
      <c r="C33" s="31">
        <v>0.78</v>
      </c>
      <c r="D33" s="27">
        <f>C33/C43*D43</f>
        <v>21983.891405867973</v>
      </c>
      <c r="E33" s="27">
        <f t="shared" si="0"/>
        <v>4.7677261613691941</v>
      </c>
      <c r="F33" s="27">
        <f>C33/C43*F43</f>
        <v>20668.389938875305</v>
      </c>
      <c r="G33" s="26">
        <f xml:space="preserve"> 0.57*G11*12</f>
        <v>16065.107999999997</v>
      </c>
    </row>
    <row r="34" spans="1:7">
      <c r="A34" s="30"/>
      <c r="B34" s="29" t="s">
        <v>14</v>
      </c>
      <c r="C34" s="28">
        <v>0.5</v>
      </c>
      <c r="D34" s="27">
        <f>C34/C43*D43</f>
        <v>14092.238080684598</v>
      </c>
      <c r="E34" s="27">
        <f t="shared" si="0"/>
        <v>3.0562347188264063</v>
      </c>
      <c r="F34" s="27">
        <f>C34/C43*F43</f>
        <v>13248.967909535453</v>
      </c>
      <c r="G34" s="26">
        <f xml:space="preserve"> 0.28*G11*12</f>
        <v>7891.6319999999996</v>
      </c>
    </row>
    <row r="35" spans="1:7">
      <c r="A35" s="30"/>
      <c r="B35" s="29" t="s">
        <v>13</v>
      </c>
      <c r="C35" s="28">
        <v>0.35</v>
      </c>
      <c r="D35" s="27">
        <f>C35/C43*D43</f>
        <v>9864.5666564792173</v>
      </c>
      <c r="E35" s="27">
        <f t="shared" si="0"/>
        <v>2.1393643031784841</v>
      </c>
      <c r="F35" s="27">
        <f>C35/C43*F43</f>
        <v>9274.2775366748156</v>
      </c>
      <c r="G35" s="26">
        <f xml:space="preserve"> 0.19*G11*12</f>
        <v>5355.0360000000001</v>
      </c>
    </row>
    <row r="36" spans="1:7">
      <c r="A36" s="30"/>
      <c r="B36" s="29" t="s">
        <v>12</v>
      </c>
      <c r="C36" s="28">
        <v>0.39</v>
      </c>
      <c r="D36" s="27">
        <f>C36/C43*D43</f>
        <v>10991.945702933986</v>
      </c>
      <c r="E36" s="27">
        <f t="shared" si="0"/>
        <v>2.3838630806845971</v>
      </c>
      <c r="F36" s="27">
        <f>C36/C43*F43</f>
        <v>10334.194969437653</v>
      </c>
      <c r="G36" s="26">
        <f xml:space="preserve"> 0.28*G11*12</f>
        <v>7891.6319999999996</v>
      </c>
    </row>
    <row r="37" spans="1:7">
      <c r="A37" s="30"/>
      <c r="B37" s="29" t="s">
        <v>11</v>
      </c>
      <c r="C37" s="28">
        <v>0.44</v>
      </c>
      <c r="D37" s="27">
        <f>C37/C43*D43</f>
        <v>12401.169511002447</v>
      </c>
      <c r="E37" s="27">
        <f t="shared" si="0"/>
        <v>2.6894865525672378</v>
      </c>
      <c r="F37" s="27">
        <f>C37/C43*F43</f>
        <v>11659.091760391198</v>
      </c>
      <c r="G37" s="26">
        <f xml:space="preserve"> 0.86*G11*12</f>
        <v>24238.583999999999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22547.580929095358</v>
      </c>
      <c r="E38" s="25">
        <f t="shared" si="0"/>
        <v>4.8899755501222506</v>
      </c>
      <c r="F38" s="25">
        <f>C38/C43*F43</f>
        <v>21198.348655256723</v>
      </c>
      <c r="G38" s="19">
        <f xml:space="preserve"> 0.81*G11*12</f>
        <v>22829.363999999998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461098.02999999997</v>
      </c>
      <c r="E39" s="24">
        <f t="shared" si="0"/>
        <v>100</v>
      </c>
      <c r="F39" s="20">
        <f>F17+F24+F27+F30+F31+F38</f>
        <v>433506.23</v>
      </c>
      <c r="G39" s="19">
        <f>G17+G24+G27+G30+G31+G38</f>
        <v>494056.00399999996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461098.03</v>
      </c>
      <c r="E43" s="9">
        <f>E39+E41</f>
        <v>118</v>
      </c>
      <c r="F43" s="8">
        <v>433506.23</v>
      </c>
      <c r="G43" s="7">
        <f>G39+G40</f>
        <v>494056.00399999996</v>
      </c>
    </row>
    <row r="44" spans="1:7">
      <c r="D44" s="2" t="s">
        <v>6</v>
      </c>
      <c r="F44" s="6">
        <v>0.94020000000000004</v>
      </c>
    </row>
    <row r="45" spans="1:7">
      <c r="F45" s="2" t="s">
        <v>5</v>
      </c>
      <c r="G45" s="2">
        <f>F43-G43</f>
        <v>-60549.773999999976</v>
      </c>
    </row>
    <row r="46" spans="1:7" ht="18.75">
      <c r="A46" s="5"/>
      <c r="B46" s="4" t="s">
        <v>4</v>
      </c>
      <c r="C46" s="3">
        <v>295463.53999999998</v>
      </c>
      <c r="D46" s="3" t="s">
        <v>2</v>
      </c>
    </row>
    <row r="47" spans="1:7" ht="18.75">
      <c r="A47" s="5"/>
      <c r="B47" s="4" t="s">
        <v>3</v>
      </c>
      <c r="C47" s="3">
        <f>D43-F43</f>
        <v>27591.800000000047</v>
      </c>
      <c r="D47" s="3" t="s">
        <v>2</v>
      </c>
    </row>
    <row r="48" spans="1:7" ht="18.75">
      <c r="A48" s="5"/>
      <c r="B48" s="4" t="s">
        <v>1</v>
      </c>
      <c r="C48" s="3">
        <f>C46+C47</f>
        <v>323055.34000000003</v>
      </c>
      <c r="D48" s="3"/>
    </row>
    <row r="49" spans="1:4" s="1" customFormat="1" ht="18.75">
      <c r="A49" s="5"/>
      <c r="B49" s="4"/>
      <c r="C49" s="3"/>
      <c r="D49" s="3"/>
    </row>
    <row r="55" spans="1:4" s="1" customFormat="1">
      <c r="B55" s="1" t="s">
        <v>0</v>
      </c>
      <c r="C55" s="2"/>
      <c r="D55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topLeftCell="A13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47</v>
      </c>
      <c r="B7" s="80"/>
      <c r="C7" s="80"/>
      <c r="D7" s="80"/>
      <c r="E7" s="80"/>
      <c r="F7" s="80"/>
      <c r="G7" s="80"/>
    </row>
    <row r="8" spans="1:7" ht="18.75">
      <c r="A8" s="80" t="s">
        <v>49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2172.1999999999998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131896.42195599023</v>
      </c>
      <c r="E17" s="39">
        <f>SUM(E18:E21)</f>
        <v>30.929095354523231</v>
      </c>
      <c r="F17" s="38">
        <f>SUM(F18:F21)</f>
        <v>128030.92526894865</v>
      </c>
      <c r="G17" s="37">
        <f>G18+G19+G20+G21</f>
        <v>121730.08799999999</v>
      </c>
    </row>
    <row r="18" spans="1:7">
      <c r="A18" s="33"/>
      <c r="B18" s="35" t="s">
        <v>33</v>
      </c>
      <c r="C18" s="36">
        <v>2.58</v>
      </c>
      <c r="D18" s="27">
        <f>C18/C43*D43</f>
        <v>67251.535305623474</v>
      </c>
      <c r="E18" s="27">
        <f>D18/$D$39*100</f>
        <v>15.770171149144256</v>
      </c>
      <c r="F18" s="27">
        <f>C18/C43*F43</f>
        <v>65280.590354523229</v>
      </c>
      <c r="G18" s="61">
        <f>2.24*G11*12</f>
        <v>58388.736000000004</v>
      </c>
    </row>
    <row r="19" spans="1:7">
      <c r="A19" s="33"/>
      <c r="B19" s="35" t="s">
        <v>32</v>
      </c>
      <c r="C19" s="31">
        <v>1.75</v>
      </c>
      <c r="D19" s="27">
        <f>C19/C43*D43</f>
        <v>45616.351466992666</v>
      </c>
      <c r="E19" s="27">
        <f>D19/$D$39*100</f>
        <v>10.696821515892422</v>
      </c>
      <c r="F19" s="27">
        <f>C19/C43*F43</f>
        <v>44279.470201711491</v>
      </c>
      <c r="G19" s="61">
        <f>1.66*G11*12</f>
        <v>43270.223999999995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17985.875721271394</v>
      </c>
      <c r="E20" s="27">
        <f>D20/$D$39*100</f>
        <v>4.21760391198044</v>
      </c>
      <c r="F20" s="27">
        <f>C20/C43*F43</f>
        <v>17458.762536674814</v>
      </c>
      <c r="G20" s="61">
        <f>0.77*G11*12</f>
        <v>20071.127999999997</v>
      </c>
    </row>
    <row r="21" spans="1:7">
      <c r="A21" s="60"/>
      <c r="B21" s="59" t="s">
        <v>30</v>
      </c>
      <c r="C21" s="58">
        <v>0.04</v>
      </c>
      <c r="D21" s="27">
        <f>C21/C43*D43</f>
        <v>1042.6594621026893</v>
      </c>
      <c r="E21" s="27">
        <f>D21/$D$39*100</f>
        <v>0.24449877750611243</v>
      </c>
      <c r="F21" s="27">
        <f>C21/C43*F43</f>
        <v>1012.1021760391197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81066.773178484102</v>
      </c>
      <c r="E24" s="39">
        <f>E25+E26</f>
        <v>19.009779951100246</v>
      </c>
      <c r="F24" s="38">
        <f>F25+F26</f>
        <v>78690.944187041561</v>
      </c>
      <c r="G24" s="37">
        <f>G25+G26</f>
        <v>78168.399999999994</v>
      </c>
    </row>
    <row r="25" spans="1:7">
      <c r="A25" s="33"/>
      <c r="B25" s="35" t="s">
        <v>26</v>
      </c>
      <c r="C25" s="36">
        <v>2.36</v>
      </c>
      <c r="D25" s="27">
        <f>C25/C43*D43</f>
        <v>61516.908264058678</v>
      </c>
      <c r="E25" s="27">
        <f>D25/$D$39*100</f>
        <v>14.425427872860636</v>
      </c>
      <c r="F25" s="27">
        <f>C25/C43*F43</f>
        <v>59714.028386308062</v>
      </c>
      <c r="G25" s="26">
        <v>70722</v>
      </c>
    </row>
    <row r="26" spans="1:7">
      <c r="A26" s="33"/>
      <c r="B26" s="35" t="s">
        <v>25</v>
      </c>
      <c r="C26" s="31">
        <v>0.75</v>
      </c>
      <c r="D26" s="27">
        <f>C26/C43*D43</f>
        <v>19549.864914425427</v>
      </c>
      <c r="E26" s="27">
        <f>D26/$D$39*100</f>
        <v>4.5843520782396094</v>
      </c>
      <c r="F26" s="27">
        <f>C26/C43*F43</f>
        <v>18976.915800733495</v>
      </c>
      <c r="G26" s="26">
        <v>7446.4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42749.037946210272</v>
      </c>
      <c r="E27" s="21">
        <f>E28+E29</f>
        <v>10.024449877750612</v>
      </c>
      <c r="F27" s="20">
        <f>F28+F29</f>
        <v>41496.189217603911</v>
      </c>
      <c r="G27" s="19">
        <f>G28+G29</f>
        <v>14655.6</v>
      </c>
    </row>
    <row r="28" spans="1:7">
      <c r="A28" s="33"/>
      <c r="B28" s="32" t="s">
        <v>22</v>
      </c>
      <c r="C28" s="31">
        <v>0.84</v>
      </c>
      <c r="D28" s="27">
        <f>C28/C43*D43</f>
        <v>21895.848704156477</v>
      </c>
      <c r="E28" s="27">
        <f>D28/$D$39*100</f>
        <v>5.1344743276283618</v>
      </c>
      <c r="F28" s="27">
        <f>C28/C43*F43</f>
        <v>21254.145696821513</v>
      </c>
      <c r="G28" s="26">
        <v>12794</v>
      </c>
    </row>
    <row r="29" spans="1:7">
      <c r="A29" s="33"/>
      <c r="B29" s="32" t="s">
        <v>21</v>
      </c>
      <c r="C29" s="31">
        <v>0.8</v>
      </c>
      <c r="D29" s="27">
        <f>C29/C43*D43</f>
        <v>20853.189242053792</v>
      </c>
      <c r="E29" s="27">
        <f>D29/$D$39*100</f>
        <v>4.8899755501222506</v>
      </c>
      <c r="F29" s="27">
        <f>C29/C43*F43</f>
        <v>20242.043520782398</v>
      </c>
      <c r="G29" s="26">
        <v>1861.6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31540.448728606352</v>
      </c>
      <c r="E30" s="25">
        <f>D30/$D$39*100</f>
        <v>7.3960880195599019</v>
      </c>
      <c r="F30" s="25">
        <f>C30/C43*F43</f>
        <v>30616.090825183372</v>
      </c>
      <c r="G30" s="19">
        <f>1.18*G11*12</f>
        <v>30758.351999999992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118341.84894865524</v>
      </c>
      <c r="E31" s="21">
        <f>SUM(E32:E37)</f>
        <v>27.75061124694377</v>
      </c>
      <c r="F31" s="20">
        <f>SUM(F32:F37)</f>
        <v>114873.5969804401</v>
      </c>
      <c r="G31" s="19">
        <f>G32+G33+G34+G35+G36+G37</f>
        <v>123815.4</v>
      </c>
    </row>
    <row r="32" spans="1:7" ht="19.5">
      <c r="A32" s="18"/>
      <c r="B32" s="32" t="s">
        <v>16</v>
      </c>
      <c r="C32" s="31">
        <v>2.08</v>
      </c>
      <c r="D32" s="27">
        <f>C32/C43*D43</f>
        <v>54218.292029339849</v>
      </c>
      <c r="E32" s="27">
        <f t="shared" ref="E32:E40" si="0">D32/$D$39*100</f>
        <v>12.713936430317849</v>
      </c>
      <c r="F32" s="27">
        <f>C32/C43*F43</f>
        <v>52629.313154034229</v>
      </c>
      <c r="G32" s="34">
        <f>2.57*G11*12</f>
        <v>66990.647999999986</v>
      </c>
    </row>
    <row r="33" spans="1:7">
      <c r="A33" s="33"/>
      <c r="B33" s="32" t="s">
        <v>15</v>
      </c>
      <c r="C33" s="31">
        <v>0.78</v>
      </c>
      <c r="D33" s="27">
        <f>C33/C43*D43</f>
        <v>20331.859511002447</v>
      </c>
      <c r="E33" s="27">
        <f t="shared" si="0"/>
        <v>4.7677261613691941</v>
      </c>
      <c r="F33" s="27">
        <f>C33/C43*F43</f>
        <v>19735.992432762836</v>
      </c>
      <c r="G33" s="26">
        <f xml:space="preserve"> 0.57*G11*12</f>
        <v>14857.847999999998</v>
      </c>
    </row>
    <row r="34" spans="1:7">
      <c r="A34" s="30"/>
      <c r="B34" s="29" t="s">
        <v>14</v>
      </c>
      <c r="C34" s="28">
        <v>0.5</v>
      </c>
      <c r="D34" s="27">
        <f>C34/C43*D43</f>
        <v>13033.243276283618</v>
      </c>
      <c r="E34" s="27">
        <f t="shared" si="0"/>
        <v>3.0562347188264063</v>
      </c>
      <c r="F34" s="27">
        <f>C34/C43*F43</f>
        <v>12651.277200488998</v>
      </c>
      <c r="G34" s="26">
        <f xml:space="preserve"> 0.28*G11*12</f>
        <v>7298.5920000000006</v>
      </c>
    </row>
    <row r="35" spans="1:7">
      <c r="A35" s="30"/>
      <c r="B35" s="29" t="s">
        <v>13</v>
      </c>
      <c r="C35" s="28">
        <v>0.35</v>
      </c>
      <c r="D35" s="27">
        <f>C35/C43*D43</f>
        <v>9123.2702933985311</v>
      </c>
      <c r="E35" s="27">
        <f t="shared" si="0"/>
        <v>2.1393643031784837</v>
      </c>
      <c r="F35" s="27">
        <f>C35/C43*F43</f>
        <v>8855.8940403422966</v>
      </c>
      <c r="G35" s="26">
        <f xml:space="preserve"> 0.19*G11*12</f>
        <v>4952.616</v>
      </c>
    </row>
    <row r="36" spans="1:7">
      <c r="A36" s="30"/>
      <c r="B36" s="29" t="s">
        <v>12</v>
      </c>
      <c r="C36" s="28">
        <v>0.39</v>
      </c>
      <c r="D36" s="27">
        <f>C36/C43*D43</f>
        <v>10165.929755501224</v>
      </c>
      <c r="E36" s="27">
        <f t="shared" si="0"/>
        <v>2.3838630806845971</v>
      </c>
      <c r="F36" s="27">
        <f>C36/C43*F43</f>
        <v>9867.996216381418</v>
      </c>
      <c r="G36" s="26">
        <f xml:space="preserve"> 0.28*G11*12</f>
        <v>7298.5920000000006</v>
      </c>
    </row>
    <row r="37" spans="1:7">
      <c r="A37" s="30"/>
      <c r="B37" s="29" t="s">
        <v>11</v>
      </c>
      <c r="C37" s="28">
        <v>0.44</v>
      </c>
      <c r="D37" s="27">
        <f>C37/C43*D43</f>
        <v>11469.254083129585</v>
      </c>
      <c r="E37" s="27">
        <f t="shared" si="0"/>
        <v>2.6894865525672373</v>
      </c>
      <c r="F37" s="27">
        <f>C37/C43*F43</f>
        <v>11133.123936430318</v>
      </c>
      <c r="G37" s="26">
        <f xml:space="preserve"> 0.86*G11*12</f>
        <v>22417.103999999999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20853.189242053792</v>
      </c>
      <c r="E38" s="25">
        <f t="shared" si="0"/>
        <v>4.8899755501222506</v>
      </c>
      <c r="F38" s="25">
        <f>C38/C43*F43</f>
        <v>20242.043520782398</v>
      </c>
      <c r="G38" s="19">
        <f xml:space="preserve"> 0.81*G11*12</f>
        <v>21113.784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426447.72</v>
      </c>
      <c r="E39" s="24">
        <f t="shared" si="0"/>
        <v>100</v>
      </c>
      <c r="F39" s="20">
        <f>F17+F24+F27+F30+F31+F38</f>
        <v>413949.78999999992</v>
      </c>
      <c r="G39" s="19">
        <f>G17+G24+G27+G30+G31+G38</f>
        <v>390241.62399999995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426447.72</v>
      </c>
      <c r="E43" s="9">
        <f>E39+E41</f>
        <v>118</v>
      </c>
      <c r="F43" s="8">
        <v>413949.79</v>
      </c>
      <c r="G43" s="7">
        <f>G39+G40</f>
        <v>390241.62399999995</v>
      </c>
    </row>
    <row r="44" spans="1:7">
      <c r="D44" s="2" t="s">
        <v>6</v>
      </c>
      <c r="F44" s="6">
        <f>F43/D43</f>
        <v>0.97069293746018859</v>
      </c>
    </row>
    <row r="45" spans="1:7">
      <c r="C45" s="2" t="s">
        <v>48</v>
      </c>
      <c r="G45" s="2">
        <f>F43-G43</f>
        <v>23708.166000000027</v>
      </c>
    </row>
    <row r="46" spans="1:7" ht="18.75">
      <c r="A46" s="5"/>
      <c r="B46" s="4" t="s">
        <v>4</v>
      </c>
      <c r="C46" s="3">
        <v>311412.5</v>
      </c>
      <c r="D46" s="3" t="s">
        <v>2</v>
      </c>
    </row>
    <row r="47" spans="1:7" ht="18.75">
      <c r="A47" s="5"/>
      <c r="B47" s="4" t="s">
        <v>3</v>
      </c>
      <c r="C47" s="3">
        <f>D43-F43</f>
        <v>12497.929999999993</v>
      </c>
      <c r="D47" s="3" t="s">
        <v>2</v>
      </c>
    </row>
    <row r="48" spans="1:7" ht="18.75">
      <c r="A48" s="5"/>
      <c r="B48" s="4" t="s">
        <v>1</v>
      </c>
      <c r="C48" s="3">
        <f>C46+C47</f>
        <v>323910.43</v>
      </c>
      <c r="D48" s="3" t="s">
        <v>2</v>
      </c>
    </row>
    <row r="49" spans="1:4" s="1" customFormat="1" ht="18.75">
      <c r="A49" s="5"/>
      <c r="B49" s="4"/>
      <c r="C49" s="3"/>
      <c r="D49" s="3"/>
    </row>
    <row r="54" spans="1:4" s="1" customFormat="1">
      <c r="B54" s="1" t="s">
        <v>0</v>
      </c>
      <c r="C54" s="2"/>
      <c r="D54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19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47</v>
      </c>
      <c r="B7" s="80"/>
      <c r="C7" s="80"/>
      <c r="D7" s="80"/>
      <c r="E7" s="80"/>
      <c r="F7" s="80"/>
      <c r="G7" s="80"/>
    </row>
    <row r="8" spans="1:7" ht="18.75">
      <c r="A8" s="80" t="s">
        <v>52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4622.3999999999996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280676.27311735944</v>
      </c>
      <c r="E17" s="39">
        <f>SUM(E18:E21)</f>
        <v>30.929095354523231</v>
      </c>
      <c r="F17" s="38">
        <f>SUM(F18:F21)</f>
        <v>265871.56057457213</v>
      </c>
      <c r="G17" s="37">
        <f>G18+G19+G20+G21</f>
        <v>259039.29599999997</v>
      </c>
    </row>
    <row r="18" spans="1:7">
      <c r="A18" s="33"/>
      <c r="B18" s="35" t="s">
        <v>33</v>
      </c>
      <c r="C18" s="36">
        <v>2.58</v>
      </c>
      <c r="D18" s="27">
        <f>C18/C43*D43</f>
        <v>143111.61751833741</v>
      </c>
      <c r="E18" s="27">
        <f>D18/$D$39*100</f>
        <v>15.770171149144256</v>
      </c>
      <c r="F18" s="27">
        <f>C18/C43*F43</f>
        <v>135562.96962102689</v>
      </c>
      <c r="G18" s="61">
        <f>2.24*G11*12</f>
        <v>124250.11199999999</v>
      </c>
    </row>
    <row r="19" spans="1:7">
      <c r="A19" s="33"/>
      <c r="B19" s="35" t="s">
        <v>32</v>
      </c>
      <c r="C19" s="31">
        <v>1.75</v>
      </c>
      <c r="D19" s="27">
        <f>C19/C43*D43</f>
        <v>97071.833588019566</v>
      </c>
      <c r="E19" s="27">
        <f>D19/$D$39*100</f>
        <v>10.69682151589242</v>
      </c>
      <c r="F19" s="27">
        <f>C19/C43*F43</f>
        <v>91951.626680929097</v>
      </c>
      <c r="G19" s="61">
        <f>1.66*G11*12</f>
        <v>92078.207999999984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38274.037243276282</v>
      </c>
      <c r="E20" s="27">
        <f>D20/$D$39*100</f>
        <v>4.2176039119804392</v>
      </c>
      <c r="F20" s="27">
        <f>C20/C43*F43</f>
        <v>36255.212805623472</v>
      </c>
      <c r="G20" s="61">
        <f>0.77*G11*12</f>
        <v>42710.975999999995</v>
      </c>
    </row>
    <row r="21" spans="1:7">
      <c r="A21" s="60"/>
      <c r="B21" s="59" t="s">
        <v>30</v>
      </c>
      <c r="C21" s="58">
        <v>0.04</v>
      </c>
      <c r="D21" s="27">
        <f>C21/C43*D43</f>
        <v>2218.7847677261611</v>
      </c>
      <c r="E21" s="27">
        <f>D21/$D$39*100</f>
        <v>0.24449877750611243</v>
      </c>
      <c r="F21" s="27">
        <f>C21/C43*F43</f>
        <v>2101.751466992665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172510.51569070906</v>
      </c>
      <c r="E24" s="39">
        <f>E25+E26</f>
        <v>19.009779951100242</v>
      </c>
      <c r="F24" s="38">
        <f>F25+F26</f>
        <v>163411.1765586797</v>
      </c>
      <c r="G24" s="37">
        <f>G25+G26</f>
        <v>142866</v>
      </c>
    </row>
    <row r="25" spans="1:7">
      <c r="A25" s="33"/>
      <c r="B25" s="35" t="s">
        <v>26</v>
      </c>
      <c r="C25" s="36">
        <v>2.36</v>
      </c>
      <c r="D25" s="27">
        <f>C25/C43*D43</f>
        <v>130908.30129584351</v>
      </c>
      <c r="E25" s="27">
        <f>D25/$D$39*100</f>
        <v>14.425427872860633</v>
      </c>
      <c r="F25" s="27">
        <f>C25/C43*F43</f>
        <v>124003.33655256723</v>
      </c>
      <c r="G25" s="26">
        <v>84835</v>
      </c>
    </row>
    <row r="26" spans="1:7">
      <c r="A26" s="33"/>
      <c r="B26" s="35" t="s">
        <v>25</v>
      </c>
      <c r="C26" s="31">
        <v>0.75</v>
      </c>
      <c r="D26" s="27">
        <f>C26/C43*D43</f>
        <v>41602.214394865528</v>
      </c>
      <c r="E26" s="27">
        <f>D26/$D$39*100</f>
        <v>4.5843520782396086</v>
      </c>
      <c r="F26" s="27">
        <f>C26/C43*F43</f>
        <v>39407.84000611247</v>
      </c>
      <c r="G26" s="26">
        <v>58031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90970.175476772623</v>
      </c>
      <c r="E27" s="21">
        <f>E28+E29</f>
        <v>10.024449877750611</v>
      </c>
      <c r="F27" s="20">
        <f>F28+F29</f>
        <v>86171.810146699267</v>
      </c>
      <c r="G27" s="19">
        <f>G28+G29</f>
        <v>308845</v>
      </c>
    </row>
    <row r="28" spans="1:7">
      <c r="A28" s="33"/>
      <c r="B28" s="32" t="s">
        <v>22</v>
      </c>
      <c r="C28" s="31">
        <v>0.84</v>
      </c>
      <c r="D28" s="27">
        <f>C28/C43*D43</f>
        <v>46594.480122249384</v>
      </c>
      <c r="E28" s="27">
        <f>D28/$D$39*100</f>
        <v>5.1344743276283609</v>
      </c>
      <c r="F28" s="27">
        <f>C28/C43*F43</f>
        <v>44136.780806845964</v>
      </c>
      <c r="G28" s="26">
        <v>32200</v>
      </c>
    </row>
    <row r="29" spans="1:7">
      <c r="A29" s="33"/>
      <c r="B29" s="32" t="s">
        <v>21</v>
      </c>
      <c r="C29" s="31">
        <v>0.8</v>
      </c>
      <c r="D29" s="27">
        <f>C29/C43*D43</f>
        <v>44375.695354523232</v>
      </c>
      <c r="E29" s="27">
        <f>D29/$D$39*100</f>
        <v>4.8899755501222497</v>
      </c>
      <c r="F29" s="27">
        <f>C29/C43*F43</f>
        <v>42035.029339853303</v>
      </c>
      <c r="G29" s="26">
        <v>276645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67118.239223716373</v>
      </c>
      <c r="E30" s="25">
        <f>D30/$D$39*100</f>
        <v>7.3960880195599001</v>
      </c>
      <c r="F30" s="25">
        <f>C30/C43*F43</f>
        <v>63577.981876528109</v>
      </c>
      <c r="G30" s="19">
        <f>1.18*G11*12</f>
        <v>65453.183999999987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251832.07113691932</v>
      </c>
      <c r="E31" s="21">
        <f>SUM(E32:E37)</f>
        <v>27.75061124694377</v>
      </c>
      <c r="F31" s="20">
        <f>SUM(F32:F37)</f>
        <v>238548.79150366748</v>
      </c>
      <c r="G31" s="19">
        <f>G32+G33+G34+G35+G36+G37</f>
        <v>247945.53599999993</v>
      </c>
    </row>
    <row r="32" spans="1:7" ht="19.5">
      <c r="A32" s="18"/>
      <c r="B32" s="32" t="s">
        <v>16</v>
      </c>
      <c r="C32" s="31">
        <v>2.08</v>
      </c>
      <c r="D32" s="27">
        <f>C32/C43*D43</f>
        <v>115376.8079217604</v>
      </c>
      <c r="E32" s="27">
        <f t="shared" ref="E32:E40" si="0">D32/$D$39*100</f>
        <v>12.713936430317849</v>
      </c>
      <c r="F32" s="27">
        <f>C32/C43*F43</f>
        <v>109291.07628361857</v>
      </c>
      <c r="G32" s="34">
        <f>2.57*G11*12</f>
        <v>142554.81599999996</v>
      </c>
    </row>
    <row r="33" spans="1:7">
      <c r="A33" s="33"/>
      <c r="B33" s="32" t="s">
        <v>15</v>
      </c>
      <c r="C33" s="31">
        <v>0.78</v>
      </c>
      <c r="D33" s="27">
        <f>C33/C43*D43</f>
        <v>43266.302970660152</v>
      </c>
      <c r="E33" s="27">
        <f t="shared" si="0"/>
        <v>4.7677261613691932</v>
      </c>
      <c r="F33" s="27">
        <f>C33/C43*F43</f>
        <v>40984.153606356973</v>
      </c>
      <c r="G33" s="26">
        <f xml:space="preserve"> 0.29*G11*12</f>
        <v>16085.951999999997</v>
      </c>
    </row>
    <row r="34" spans="1:7">
      <c r="A34" s="30"/>
      <c r="B34" s="29" t="s">
        <v>14</v>
      </c>
      <c r="C34" s="28">
        <v>0.5</v>
      </c>
      <c r="D34" s="27">
        <f>C34/C43*D43</f>
        <v>27734.809596577019</v>
      </c>
      <c r="E34" s="27">
        <f t="shared" si="0"/>
        <v>3.0562347188264058</v>
      </c>
      <c r="F34" s="27">
        <f>C34/C43*F43</f>
        <v>26271.893337408314</v>
      </c>
      <c r="G34" s="26">
        <f xml:space="preserve"> 0.28*G11*12</f>
        <v>15531.263999999999</v>
      </c>
    </row>
    <row r="35" spans="1:7">
      <c r="A35" s="30"/>
      <c r="B35" s="29" t="s">
        <v>13</v>
      </c>
      <c r="C35" s="28">
        <v>0.35</v>
      </c>
      <c r="D35" s="27">
        <f>C35/C43*D43</f>
        <v>19414.366717603909</v>
      </c>
      <c r="E35" s="27">
        <f t="shared" si="0"/>
        <v>2.1393643031784837</v>
      </c>
      <c r="F35" s="27">
        <f>C35/C43*F43</f>
        <v>18390.325336185815</v>
      </c>
      <c r="G35" s="26">
        <f xml:space="preserve"> 0.19*G11*12</f>
        <v>10539.072</v>
      </c>
    </row>
    <row r="36" spans="1:7">
      <c r="A36" s="30"/>
      <c r="B36" s="29" t="s">
        <v>12</v>
      </c>
      <c r="C36" s="28">
        <v>0.39</v>
      </c>
      <c r="D36" s="27">
        <f>C36/C43*D43</f>
        <v>21633.151485330076</v>
      </c>
      <c r="E36" s="27">
        <f t="shared" si="0"/>
        <v>2.3838630806845966</v>
      </c>
      <c r="F36" s="27">
        <f>C36/C43*F43</f>
        <v>20492.076803178486</v>
      </c>
      <c r="G36" s="26">
        <f xml:space="preserve"> 0.28*G11*12</f>
        <v>15531.263999999999</v>
      </c>
    </row>
    <row r="37" spans="1:7">
      <c r="A37" s="30"/>
      <c r="B37" s="29" t="s">
        <v>11</v>
      </c>
      <c r="C37" s="28">
        <v>0.44</v>
      </c>
      <c r="D37" s="27">
        <f>C37/C43*D43</f>
        <v>24406.632444987776</v>
      </c>
      <c r="E37" s="27">
        <f t="shared" si="0"/>
        <v>2.6894865525672369</v>
      </c>
      <c r="F37" s="27">
        <f>C37/C43*F43</f>
        <v>23119.266136919316</v>
      </c>
      <c r="G37" s="26">
        <f xml:space="preserve"> 0.86*G11*12</f>
        <v>47703.167999999998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44375.695354523232</v>
      </c>
      <c r="E38" s="25">
        <f t="shared" si="0"/>
        <v>4.8899755501222497</v>
      </c>
      <c r="F38" s="25">
        <f>C38/C43*F43</f>
        <v>42035.029339853303</v>
      </c>
      <c r="G38" s="19">
        <f xml:space="preserve"> 0.81*G11*12</f>
        <v>44929.727999999996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907482.97000000009</v>
      </c>
      <c r="E39" s="24">
        <f t="shared" si="0"/>
        <v>100</v>
      </c>
      <c r="F39" s="20">
        <f>F17+F24+F27+F30+F31+F38</f>
        <v>859616.35</v>
      </c>
      <c r="G39" s="19">
        <f>G17+G24+G27+G30+G31+G38</f>
        <v>1069078.7439999999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907482.97</v>
      </c>
      <c r="E43" s="9">
        <f>E39+E41</f>
        <v>118</v>
      </c>
      <c r="F43" s="8">
        <v>859616.35</v>
      </c>
      <c r="G43" s="7">
        <f>G39+G40</f>
        <v>1069078.7439999999</v>
      </c>
    </row>
    <row r="44" spans="1:7">
      <c r="D44" s="2" t="s">
        <v>6</v>
      </c>
      <c r="F44" s="6">
        <f>F43/D43</f>
        <v>0.94725342338931162</v>
      </c>
    </row>
    <row r="45" spans="1:7">
      <c r="C45" s="2" t="s">
        <v>51</v>
      </c>
      <c r="G45" s="2" t="s">
        <v>50</v>
      </c>
    </row>
    <row r="46" spans="1:7" ht="18.75">
      <c r="A46" s="5"/>
      <c r="B46" s="4" t="s">
        <v>4</v>
      </c>
      <c r="C46" s="3">
        <v>383864.48</v>
      </c>
      <c r="D46" s="3" t="s">
        <v>2</v>
      </c>
    </row>
    <row r="47" spans="1:7" ht="18.75">
      <c r="A47" s="5"/>
      <c r="B47" s="4" t="s">
        <v>3</v>
      </c>
      <c r="C47" s="3">
        <f>D43-F43</f>
        <v>47866.619999999995</v>
      </c>
      <c r="D47" s="3" t="s">
        <v>2</v>
      </c>
    </row>
    <row r="48" spans="1:7" ht="18.75">
      <c r="A48" s="5"/>
      <c r="B48" s="4" t="s">
        <v>1</v>
      </c>
      <c r="C48" s="3">
        <f>C46+C47</f>
        <v>431731.1</v>
      </c>
      <c r="D48" s="3" t="s">
        <v>2</v>
      </c>
    </row>
    <row r="49" spans="1:4" s="1" customFormat="1" ht="18.75">
      <c r="A49" s="5"/>
      <c r="B49" s="4"/>
      <c r="C49" s="3"/>
      <c r="D49" s="3"/>
    </row>
    <row r="55" spans="1:4" s="1" customFormat="1">
      <c r="B55" s="1" t="s">
        <v>0</v>
      </c>
      <c r="C55" s="2"/>
      <c r="D55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topLeftCell="A16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47</v>
      </c>
      <c r="B7" s="80"/>
      <c r="C7" s="80"/>
      <c r="D7" s="80"/>
      <c r="E7" s="80"/>
      <c r="F7" s="80"/>
      <c r="G7" s="80"/>
    </row>
    <row r="8" spans="1:7" ht="18.75">
      <c r="A8" s="80" t="s">
        <v>54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2994.2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181808.7939364303</v>
      </c>
      <c r="E17" s="39">
        <f>SUM(E18:E21)</f>
        <v>30.929095354523231</v>
      </c>
      <c r="F17" s="38">
        <f>SUM(F18:F21)</f>
        <v>131619.53232273838</v>
      </c>
      <c r="G17" s="37">
        <f>G18+G19+G20+G21</f>
        <v>167794.96799999999</v>
      </c>
    </row>
    <row r="18" spans="1:7">
      <c r="A18" s="33"/>
      <c r="B18" s="35" t="s">
        <v>33</v>
      </c>
      <c r="C18" s="36">
        <v>2.58</v>
      </c>
      <c r="D18" s="27">
        <f>C18/C43*D43</f>
        <v>92700.926552567238</v>
      </c>
      <c r="E18" s="27">
        <f>D18/$D$39*100</f>
        <v>15.770171149144256</v>
      </c>
      <c r="F18" s="27">
        <f>C18/C43*F43</f>
        <v>67110.354425427868</v>
      </c>
      <c r="G18" s="61">
        <f>2.24*G11*12</f>
        <v>80484.09599999999</v>
      </c>
    </row>
    <row r="19" spans="1:7">
      <c r="A19" s="33"/>
      <c r="B19" s="35" t="s">
        <v>32</v>
      </c>
      <c r="C19" s="31">
        <v>1.75</v>
      </c>
      <c r="D19" s="27">
        <f>C19/C43*D43</f>
        <v>62878.535452322743</v>
      </c>
      <c r="E19" s="27">
        <f>D19/$D$39*100</f>
        <v>10.696821515892422</v>
      </c>
      <c r="F19" s="27">
        <f>C19/C43*F43</f>
        <v>45520.589242053793</v>
      </c>
      <c r="G19" s="61">
        <f>1.66*G11*12</f>
        <v>59644.463999999993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24792.108264058679</v>
      </c>
      <c r="E20" s="27">
        <f>D20/$D$39*100</f>
        <v>4.21760391198044</v>
      </c>
      <c r="F20" s="27">
        <f>C20/C43*F43</f>
        <v>17948.118044009778</v>
      </c>
      <c r="G20" s="61">
        <f>0.77*G11*12</f>
        <v>27666.408000000003</v>
      </c>
    </row>
    <row r="21" spans="1:7">
      <c r="A21" s="60"/>
      <c r="B21" s="59" t="s">
        <v>30</v>
      </c>
      <c r="C21" s="58">
        <v>0.04</v>
      </c>
      <c r="D21" s="27">
        <f>C21/C43*D43</f>
        <v>1437.2236674816625</v>
      </c>
      <c r="E21" s="27">
        <f>D21/$D$39*100</f>
        <v>0.24449877750611246</v>
      </c>
      <c r="F21" s="27">
        <f>C21/C43*F43</f>
        <v>1040.4706112469437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111744.14014669927</v>
      </c>
      <c r="E24" s="39">
        <f>E25+E26</f>
        <v>19.009779951100246</v>
      </c>
      <c r="F24" s="38">
        <f>F25+F26</f>
        <v>80896.590024449877</v>
      </c>
      <c r="G24" s="37">
        <f>G25+G26</f>
        <v>47403</v>
      </c>
    </row>
    <row r="25" spans="1:7">
      <c r="A25" s="33"/>
      <c r="B25" s="35" t="s">
        <v>26</v>
      </c>
      <c r="C25" s="36">
        <v>2.36</v>
      </c>
      <c r="D25" s="27">
        <f>C25/C43*D43</f>
        <v>84796.196381418093</v>
      </c>
      <c r="E25" s="27">
        <f>D25/$D$39*100</f>
        <v>14.425427872860636</v>
      </c>
      <c r="F25" s="27">
        <f>C25/C43*F43</f>
        <v>61387.766063569681</v>
      </c>
      <c r="G25" s="26">
        <v>40799</v>
      </c>
    </row>
    <row r="26" spans="1:7">
      <c r="A26" s="33"/>
      <c r="B26" s="35" t="s">
        <v>25</v>
      </c>
      <c r="C26" s="31">
        <v>0.75</v>
      </c>
      <c r="D26" s="27">
        <f>C26/C43*D43</f>
        <v>26947.943765281176</v>
      </c>
      <c r="E26" s="27">
        <f>D26/$D$39*100</f>
        <v>4.5843520782396094</v>
      </c>
      <c r="F26" s="27">
        <f>C26/C43*F43</f>
        <v>19508.823960880196</v>
      </c>
      <c r="G26" s="26">
        <v>6604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58926.170366748163</v>
      </c>
      <c r="E27" s="21">
        <f>E28+E29</f>
        <v>10.024449877750612</v>
      </c>
      <c r="F27" s="20">
        <f>F28+F29</f>
        <v>42659.295061124692</v>
      </c>
      <c r="G27" s="19">
        <f>G28+G29</f>
        <v>34028</v>
      </c>
    </row>
    <row r="28" spans="1:7">
      <c r="A28" s="33"/>
      <c r="B28" s="32" t="s">
        <v>22</v>
      </c>
      <c r="C28" s="31">
        <v>0.84</v>
      </c>
      <c r="D28" s="27">
        <f>C28/C43*D43</f>
        <v>30181.697017114915</v>
      </c>
      <c r="E28" s="27">
        <f>D28/$D$39*100</f>
        <v>5.1344743276283618</v>
      </c>
      <c r="F28" s="27">
        <f>C28/C43*F43</f>
        <v>21849.882836185818</v>
      </c>
      <c r="G28" s="26">
        <v>32377</v>
      </c>
    </row>
    <row r="29" spans="1:7">
      <c r="A29" s="33"/>
      <c r="B29" s="32" t="s">
        <v>21</v>
      </c>
      <c r="C29" s="31">
        <v>0.8</v>
      </c>
      <c r="D29" s="27">
        <f>C29/C43*D43</f>
        <v>28744.473349633252</v>
      </c>
      <c r="E29" s="27">
        <f>D29/$D$39*100</f>
        <v>4.8899755501222497</v>
      </c>
      <c r="F29" s="27">
        <f>C29/C43*F43</f>
        <v>20809.412224938875</v>
      </c>
      <c r="G29" s="26">
        <v>1651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43476.015941320285</v>
      </c>
      <c r="E30" s="25">
        <f>D30/$D$39*100</f>
        <v>7.3960880195599019</v>
      </c>
      <c r="F30" s="25">
        <f>C30/C43*F43</f>
        <v>31474.235990220044</v>
      </c>
      <c r="G30" s="19">
        <f>1.18*G11*12</f>
        <v>42397.871999999996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163124.88625916871</v>
      </c>
      <c r="E31" s="21">
        <f>SUM(E32:E37)</f>
        <v>27.75061124694377</v>
      </c>
      <c r="F31" s="20">
        <f>SUM(F32:F37)</f>
        <v>118093.41437652813</v>
      </c>
      <c r="G31" s="19">
        <f>G32+G33+G34+G35+G36+G37</f>
        <v>170669.4</v>
      </c>
    </row>
    <row r="32" spans="1:7" ht="19.5">
      <c r="A32" s="18"/>
      <c r="B32" s="32" t="s">
        <v>16</v>
      </c>
      <c r="C32" s="31">
        <v>2.08</v>
      </c>
      <c r="D32" s="27">
        <f>C32/C43*D43</f>
        <v>74735.630709046454</v>
      </c>
      <c r="E32" s="27">
        <f t="shared" ref="E32:E40" si="0">D32/$D$39*100</f>
        <v>12.713936430317849</v>
      </c>
      <c r="F32" s="27">
        <f>C32/C43*F43</f>
        <v>54104.471784841073</v>
      </c>
      <c r="G32" s="34">
        <f>2.57*G11*12</f>
        <v>92341.127999999997</v>
      </c>
    </row>
    <row r="33" spans="1:7">
      <c r="A33" s="33"/>
      <c r="B33" s="32" t="s">
        <v>15</v>
      </c>
      <c r="C33" s="31">
        <v>0.78</v>
      </c>
      <c r="D33" s="27">
        <f>C33/C43*D43</f>
        <v>28025.861515892422</v>
      </c>
      <c r="E33" s="27">
        <f t="shared" si="0"/>
        <v>4.7677261613691932</v>
      </c>
      <c r="F33" s="27">
        <f>C33/C43*F43</f>
        <v>20289.176919315403</v>
      </c>
      <c r="G33" s="26">
        <f xml:space="preserve"> 0.57*G11*12</f>
        <v>20480.327999999998</v>
      </c>
    </row>
    <row r="34" spans="1:7">
      <c r="A34" s="30"/>
      <c r="B34" s="29" t="s">
        <v>14</v>
      </c>
      <c r="C34" s="28">
        <v>0.5</v>
      </c>
      <c r="D34" s="27">
        <f>C34/C43*D43</f>
        <v>17965.295843520784</v>
      </c>
      <c r="E34" s="27">
        <f t="shared" si="0"/>
        <v>3.0562347188264063</v>
      </c>
      <c r="F34" s="27">
        <f>C34/C43*F43</f>
        <v>13005.882640586797</v>
      </c>
      <c r="G34" s="26">
        <f xml:space="preserve"> 0.28*G11*12</f>
        <v>10060.511999999999</v>
      </c>
    </row>
    <row r="35" spans="1:7">
      <c r="A35" s="30"/>
      <c r="B35" s="29" t="s">
        <v>13</v>
      </c>
      <c r="C35" s="28">
        <v>0.35</v>
      </c>
      <c r="D35" s="27">
        <f>C35/C43*D43</f>
        <v>12575.707090464546</v>
      </c>
      <c r="E35" s="27">
        <f t="shared" si="0"/>
        <v>2.1393643031784837</v>
      </c>
      <c r="F35" s="27">
        <f>C35/C43*F43</f>
        <v>9104.1178484107568</v>
      </c>
      <c r="G35" s="26">
        <f xml:space="preserve"> 0.19*G11*12</f>
        <v>6826.7759999999998</v>
      </c>
    </row>
    <row r="36" spans="1:7">
      <c r="A36" s="30"/>
      <c r="B36" s="29" t="s">
        <v>12</v>
      </c>
      <c r="C36" s="28">
        <v>0.39</v>
      </c>
      <c r="D36" s="27">
        <f>C36/C43*D43</f>
        <v>14012.930757946211</v>
      </c>
      <c r="E36" s="27">
        <f t="shared" si="0"/>
        <v>2.3838630806845966</v>
      </c>
      <c r="F36" s="27">
        <f>C36/C43*F43</f>
        <v>10144.588459657702</v>
      </c>
      <c r="G36" s="26">
        <f xml:space="preserve"> 0.28*G11*12</f>
        <v>10060.511999999999</v>
      </c>
    </row>
    <row r="37" spans="1:7">
      <c r="A37" s="30"/>
      <c r="B37" s="29" t="s">
        <v>11</v>
      </c>
      <c r="C37" s="28">
        <v>0.44</v>
      </c>
      <c r="D37" s="27">
        <f>C37/C43*D43</f>
        <v>15809.460342298289</v>
      </c>
      <c r="E37" s="27">
        <f t="shared" si="0"/>
        <v>2.6894865525672373</v>
      </c>
      <c r="F37" s="27">
        <f>C37/C43*F43</f>
        <v>11445.176723716382</v>
      </c>
      <c r="G37" s="26">
        <f xml:space="preserve"> 0.86*G11*12</f>
        <v>30900.143999999997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28744.473349633252</v>
      </c>
      <c r="E38" s="25">
        <f t="shared" si="0"/>
        <v>4.8899755501222497</v>
      </c>
      <c r="F38" s="25">
        <f>C38/C43*F43</f>
        <v>20809.412224938875</v>
      </c>
      <c r="G38" s="19">
        <f xml:space="preserve"> 0.81*G11*12</f>
        <v>29103.624000000003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587824.48</v>
      </c>
      <c r="E39" s="24">
        <f t="shared" si="0"/>
        <v>100</v>
      </c>
      <c r="F39" s="20">
        <f>F17+F24+F27+F30+F31+F38</f>
        <v>425552.48</v>
      </c>
      <c r="G39" s="19">
        <f>G17+G24+G27+G30+G31+G38</f>
        <v>491396.864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587824.48</v>
      </c>
      <c r="E43" s="9">
        <f>E39+E41</f>
        <v>118</v>
      </c>
      <c r="F43" s="8">
        <v>425552.48</v>
      </c>
      <c r="G43" s="7">
        <f>G39+G40</f>
        <v>491396.864</v>
      </c>
    </row>
    <row r="44" spans="1:7">
      <c r="D44" s="2" t="s">
        <v>6</v>
      </c>
      <c r="F44" s="6">
        <f>F43/D43</f>
        <v>0.72394480747042045</v>
      </c>
    </row>
    <row r="45" spans="1:7">
      <c r="C45" s="2" t="s">
        <v>53</v>
      </c>
      <c r="G45" s="2">
        <f>F43-G43</f>
        <v>-65844.38400000002</v>
      </c>
    </row>
    <row r="46" spans="1:7" ht="18.75">
      <c r="A46" s="5"/>
      <c r="B46" s="4" t="s">
        <v>4</v>
      </c>
      <c r="C46" s="3">
        <v>282260.2</v>
      </c>
      <c r="D46" s="3" t="s">
        <v>2</v>
      </c>
    </row>
    <row r="47" spans="1:7" ht="18.75">
      <c r="A47" s="5"/>
      <c r="B47" s="4" t="s">
        <v>3</v>
      </c>
      <c r="C47" s="3">
        <f>D43-F43</f>
        <v>162272</v>
      </c>
      <c r="D47" s="3" t="s">
        <v>2</v>
      </c>
    </row>
    <row r="48" spans="1:7" ht="18.75">
      <c r="A48" s="5"/>
      <c r="B48" s="4" t="s">
        <v>1</v>
      </c>
      <c r="C48" s="3">
        <f>C46+C47</f>
        <v>444532.2</v>
      </c>
      <c r="D48" s="3" t="s">
        <v>2</v>
      </c>
    </row>
    <row r="49" spans="1:4" s="1" customFormat="1" ht="18.75">
      <c r="A49" s="5"/>
      <c r="B49" s="4"/>
      <c r="C49" s="3"/>
      <c r="D49" s="3"/>
    </row>
    <row r="55" spans="1:4" s="1" customFormat="1">
      <c r="B55" s="1" t="s">
        <v>0</v>
      </c>
      <c r="C55" s="2"/>
      <c r="D55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topLeftCell="A16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57</v>
      </c>
      <c r="B7" s="80"/>
      <c r="C7" s="80"/>
      <c r="D7" s="80"/>
      <c r="E7" s="80"/>
      <c r="F7" s="80"/>
      <c r="G7" s="80"/>
    </row>
    <row r="8" spans="1:7" ht="18.75">
      <c r="A8" s="80" t="s">
        <v>56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3009.3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182724.62919315405</v>
      </c>
      <c r="E17" s="39">
        <f>SUM(E18:E21)</f>
        <v>30.929095354523234</v>
      </c>
      <c r="F17" s="38">
        <f>SUM(F18:F21)</f>
        <v>180597.15590464548</v>
      </c>
      <c r="G17" s="37">
        <f>G18+G19+G20+G21</f>
        <v>168641.17200000002</v>
      </c>
    </row>
    <row r="18" spans="1:7">
      <c r="A18" s="33"/>
      <c r="B18" s="35" t="s">
        <v>33</v>
      </c>
      <c r="C18" s="36">
        <v>2.58</v>
      </c>
      <c r="D18" s="27">
        <f>C18/C43*D43</f>
        <v>93167.893936430322</v>
      </c>
      <c r="E18" s="27">
        <f>D18/$D$39*100</f>
        <v>15.770171149144257</v>
      </c>
      <c r="F18" s="27">
        <f>C18/C43*F43</f>
        <v>92083.13482885086</v>
      </c>
      <c r="G18" s="61">
        <f>2.24*G11*12</f>
        <v>80889.984000000011</v>
      </c>
    </row>
    <row r="19" spans="1:7">
      <c r="A19" s="33"/>
      <c r="B19" s="35" t="s">
        <v>32</v>
      </c>
      <c r="C19" s="31">
        <v>1.75</v>
      </c>
      <c r="D19" s="27">
        <f>C19/C43*D43</f>
        <v>63195.276894865536</v>
      </c>
      <c r="E19" s="27">
        <f>D19/$D$39*100</f>
        <v>10.696821515892424</v>
      </c>
      <c r="F19" s="27">
        <f>C19/C43*F43</f>
        <v>62459.490678484115</v>
      </c>
      <c r="G19" s="61">
        <f>1.66*G11*12</f>
        <v>59945.256000000001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24916.994889975551</v>
      </c>
      <c r="E20" s="27">
        <f>D20/$D$39*100</f>
        <v>4.2176039119804409</v>
      </c>
      <c r="F20" s="27">
        <f>C20/C43*F43</f>
        <v>24626.88489608802</v>
      </c>
      <c r="G20" s="61">
        <f>0.77*G11*12</f>
        <v>27805.932000000001</v>
      </c>
    </row>
    <row r="21" spans="1:7">
      <c r="A21" s="60"/>
      <c r="B21" s="59" t="s">
        <v>30</v>
      </c>
      <c r="C21" s="58">
        <v>0.04</v>
      </c>
      <c r="D21" s="27">
        <f>C21/C43*D43</f>
        <v>1444.4634718826408</v>
      </c>
      <c r="E21" s="27">
        <f>D21/$D$39*100</f>
        <v>0.24449877750611251</v>
      </c>
      <c r="F21" s="27">
        <f>C21/C43*F43</f>
        <v>1427.645501222494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112307.03493887531</v>
      </c>
      <c r="E24" s="39">
        <f>E25+E26</f>
        <v>19.009779951100249</v>
      </c>
      <c r="F24" s="38">
        <f>F25+F26</f>
        <v>110999.43772004891</v>
      </c>
      <c r="G24" s="37">
        <f>G25+G26</f>
        <v>80680.600000000006</v>
      </c>
    </row>
    <row r="25" spans="1:7">
      <c r="A25" s="33"/>
      <c r="B25" s="35" t="s">
        <v>26</v>
      </c>
      <c r="C25" s="36">
        <v>2.36</v>
      </c>
      <c r="D25" s="27">
        <f>C25/C43*D43</f>
        <v>85223.344841075799</v>
      </c>
      <c r="E25" s="27">
        <f>D25/$D$39*100</f>
        <v>14.425427872860638</v>
      </c>
      <c r="F25" s="27">
        <f>C25/C43*F43</f>
        <v>84231.084572127147</v>
      </c>
      <c r="G25" s="26">
        <v>77191</v>
      </c>
    </row>
    <row r="26" spans="1:7">
      <c r="A26" s="33"/>
      <c r="B26" s="35" t="s">
        <v>25</v>
      </c>
      <c r="C26" s="31">
        <v>0.75</v>
      </c>
      <c r="D26" s="27">
        <f>C26/C43*D43</f>
        <v>27083.690097799514</v>
      </c>
      <c r="E26" s="27">
        <f>D26/$D$39*100</f>
        <v>4.5843520782396094</v>
      </c>
      <c r="F26" s="27">
        <f>C26/C43*F43</f>
        <v>26768.353147921764</v>
      </c>
      <c r="G26" s="26">
        <v>3489.6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59223.002347188274</v>
      </c>
      <c r="E27" s="21">
        <f>E28+E29</f>
        <v>10.024449877750612</v>
      </c>
      <c r="F27" s="20">
        <f>F28+F29</f>
        <v>58533.465550122251</v>
      </c>
      <c r="G27" s="19">
        <f>G28+G29</f>
        <v>25620.400000000001</v>
      </c>
    </row>
    <row r="28" spans="1:7">
      <c r="A28" s="33"/>
      <c r="B28" s="32" t="s">
        <v>22</v>
      </c>
      <c r="C28" s="31">
        <v>0.84</v>
      </c>
      <c r="D28" s="27">
        <f>C28/C43*D43</f>
        <v>30333.732909535454</v>
      </c>
      <c r="E28" s="27">
        <f>D28/$D$39*100</f>
        <v>5.1344743276283626</v>
      </c>
      <c r="F28" s="27">
        <f>C28/C43*F43</f>
        <v>29980.555525672371</v>
      </c>
      <c r="G28" s="26">
        <v>24748</v>
      </c>
    </row>
    <row r="29" spans="1:7">
      <c r="A29" s="33"/>
      <c r="B29" s="32" t="s">
        <v>21</v>
      </c>
      <c r="C29" s="31">
        <v>0.8</v>
      </c>
      <c r="D29" s="27">
        <f>C29/C43*D43</f>
        <v>28889.269437652816</v>
      </c>
      <c r="E29" s="27">
        <f>D29/$D$39*100</f>
        <v>4.8899755501222506</v>
      </c>
      <c r="F29" s="27">
        <f>C29/C43*F43</f>
        <v>28552.91002444988</v>
      </c>
      <c r="G29" s="26">
        <v>872.4</v>
      </c>
    </row>
    <row r="30" spans="1:7" ht="19.5">
      <c r="A30" s="23" t="s">
        <v>20</v>
      </c>
      <c r="B30" s="22" t="s">
        <v>19</v>
      </c>
      <c r="C30" s="10">
        <v>1.21</v>
      </c>
      <c r="D30" s="79">
        <f>C30/C43*D43</f>
        <v>43695.020024449877</v>
      </c>
      <c r="E30" s="24">
        <f>D30/$D$39*100</f>
        <v>7.3960880195599028</v>
      </c>
      <c r="F30" s="79">
        <f>C30/C43*F43</f>
        <v>43186.276411980434</v>
      </c>
      <c r="G30" s="19">
        <f>1.18*G11*12</f>
        <v>42611.688000000002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163946.60405867975</v>
      </c>
      <c r="E31" s="21">
        <f>SUM(E32:E37)</f>
        <v>27.750611246943773</v>
      </c>
      <c r="F31" s="20">
        <f>SUM(F32:F37)</f>
        <v>162037.76438875307</v>
      </c>
      <c r="G31" s="19">
        <f>G32+G33+G34+G35+G36+G37</f>
        <v>171530.1</v>
      </c>
    </row>
    <row r="32" spans="1:7" ht="19.5">
      <c r="A32" s="18"/>
      <c r="B32" s="32" t="s">
        <v>16</v>
      </c>
      <c r="C32" s="31">
        <v>2.08</v>
      </c>
      <c r="D32" s="27">
        <f>C32/C43*D43</f>
        <v>75112.10053789732</v>
      </c>
      <c r="E32" s="27">
        <f t="shared" ref="E32:E40" si="0">D32/$D$39*100</f>
        <v>12.713936430317851</v>
      </c>
      <c r="F32" s="27">
        <f>C32/C43*F43</f>
        <v>74237.566063569684</v>
      </c>
      <c r="G32" s="34">
        <f>2.57*G11*12</f>
        <v>92806.812000000005</v>
      </c>
    </row>
    <row r="33" spans="1:7">
      <c r="A33" s="33"/>
      <c r="B33" s="32" t="s">
        <v>15</v>
      </c>
      <c r="C33" s="31">
        <v>0.78</v>
      </c>
      <c r="D33" s="27">
        <f>C33/C43*D43</f>
        <v>28167.037701711495</v>
      </c>
      <c r="E33" s="27">
        <f t="shared" si="0"/>
        <v>4.7677261613691941</v>
      </c>
      <c r="F33" s="27">
        <f>C33/C43*F43</f>
        <v>27839.087273838635</v>
      </c>
      <c r="G33" s="26">
        <f xml:space="preserve"> 0.57*G11*12</f>
        <v>20583.612000000001</v>
      </c>
    </row>
    <row r="34" spans="1:7">
      <c r="A34" s="30"/>
      <c r="B34" s="29" t="s">
        <v>14</v>
      </c>
      <c r="C34" s="28">
        <v>0.5</v>
      </c>
      <c r="D34" s="27">
        <f>C34/C43*D43</f>
        <v>18055.793398533009</v>
      </c>
      <c r="E34" s="27">
        <f t="shared" si="0"/>
        <v>3.0562347188264063</v>
      </c>
      <c r="F34" s="27">
        <f>C34/C43*F43</f>
        <v>17845.568765281176</v>
      </c>
      <c r="G34" s="26">
        <f xml:space="preserve"> 0.28*G11*12</f>
        <v>10111.248000000001</v>
      </c>
    </row>
    <row r="35" spans="1:7">
      <c r="A35" s="30"/>
      <c r="B35" s="29" t="s">
        <v>13</v>
      </c>
      <c r="C35" s="28">
        <v>0.35</v>
      </c>
      <c r="D35" s="27">
        <f>C35/C43*D43</f>
        <v>12639.055378973106</v>
      </c>
      <c r="E35" s="27">
        <f t="shared" si="0"/>
        <v>2.1393643031784841</v>
      </c>
      <c r="F35" s="27">
        <f>C35/C43*F43</f>
        <v>12491.89813569682</v>
      </c>
      <c r="G35" s="26">
        <f xml:space="preserve"> 0.19*G11*12</f>
        <v>6861.2040000000006</v>
      </c>
    </row>
    <row r="36" spans="1:7">
      <c r="A36" s="30"/>
      <c r="B36" s="29" t="s">
        <v>12</v>
      </c>
      <c r="C36" s="28">
        <v>0.39</v>
      </c>
      <c r="D36" s="27">
        <f>C36/C43*D43</f>
        <v>14083.518850855748</v>
      </c>
      <c r="E36" s="27">
        <f t="shared" si="0"/>
        <v>2.3838630806845971</v>
      </c>
      <c r="F36" s="27">
        <f>C36/C43*F43</f>
        <v>13919.543636919318</v>
      </c>
      <c r="G36" s="26">
        <f xml:space="preserve"> 0.28*G11*12</f>
        <v>10111.248000000001</v>
      </c>
    </row>
    <row r="37" spans="1:7">
      <c r="A37" s="30"/>
      <c r="B37" s="29" t="s">
        <v>11</v>
      </c>
      <c r="C37" s="28">
        <v>0.44</v>
      </c>
      <c r="D37" s="27">
        <f>C37/C43*D43</f>
        <v>15889.09819070905</v>
      </c>
      <c r="E37" s="27">
        <f t="shared" si="0"/>
        <v>2.6894865525672382</v>
      </c>
      <c r="F37" s="27">
        <f>C37/C43*F43</f>
        <v>15704.100513447434</v>
      </c>
      <c r="G37" s="26">
        <f xml:space="preserve"> 0.86*G11*12</f>
        <v>31055.976000000002</v>
      </c>
    </row>
    <row r="38" spans="1:7" ht="19.5">
      <c r="A38" s="23" t="s">
        <v>10</v>
      </c>
      <c r="B38" s="22" t="s">
        <v>9</v>
      </c>
      <c r="C38" s="10">
        <v>0.8</v>
      </c>
      <c r="D38" s="79">
        <f>C38/C43*D43</f>
        <v>28889.269437652816</v>
      </c>
      <c r="E38" s="24">
        <f t="shared" si="0"/>
        <v>4.8899755501222506</v>
      </c>
      <c r="F38" s="79">
        <f>C38/C43*F43</f>
        <v>28552.91002444988</v>
      </c>
      <c r="G38" s="19">
        <f xml:space="preserve"> 0.81*G11*12</f>
        <v>29250.396000000004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590785.55999999994</v>
      </c>
      <c r="E39" s="24">
        <f t="shared" si="0"/>
        <v>100</v>
      </c>
      <c r="F39" s="20">
        <f>F17+F24+F27+F30+F31+F38</f>
        <v>583907.01000000013</v>
      </c>
      <c r="G39" s="19">
        <f>G17+G24+G27+G30+G31+G38</f>
        <v>518334.35600000009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590785.56000000006</v>
      </c>
      <c r="E43" s="9">
        <f>E39+E41</f>
        <v>118</v>
      </c>
      <c r="F43" s="8">
        <v>583907.01</v>
      </c>
      <c r="G43" s="7">
        <f>G39+G40</f>
        <v>518334.35600000009</v>
      </c>
    </row>
    <row r="44" spans="1:7">
      <c r="D44" s="2" t="s">
        <v>6</v>
      </c>
      <c r="F44" s="6">
        <f>F43/D43</f>
        <v>0.98835694291512466</v>
      </c>
    </row>
    <row r="45" spans="1:7">
      <c r="C45" s="2" t="s">
        <v>55</v>
      </c>
      <c r="G45" s="2">
        <f>F43-G43</f>
        <v>65572.653999999922</v>
      </c>
    </row>
    <row r="46" spans="1:7" ht="18.75">
      <c r="A46" s="5"/>
      <c r="B46" s="4" t="s">
        <v>4</v>
      </c>
      <c r="C46" s="3">
        <v>81378.36</v>
      </c>
      <c r="D46" s="3" t="s">
        <v>2</v>
      </c>
    </row>
    <row r="47" spans="1:7" ht="18.75">
      <c r="A47" s="5"/>
      <c r="B47" s="4" t="s">
        <v>3</v>
      </c>
      <c r="C47" s="3">
        <f>D43-F43</f>
        <v>6878.5500000000466</v>
      </c>
      <c r="D47" s="3" t="s">
        <v>2</v>
      </c>
    </row>
    <row r="48" spans="1:7" ht="18.75">
      <c r="A48" s="5"/>
      <c r="B48" s="4" t="s">
        <v>1</v>
      </c>
      <c r="C48" s="3">
        <f>C46+C47</f>
        <v>88256.910000000047</v>
      </c>
      <c r="D48" s="3" t="s">
        <v>2</v>
      </c>
    </row>
    <row r="49" spans="1:4" s="1" customFormat="1" ht="18.75">
      <c r="A49" s="5"/>
      <c r="B49" s="4"/>
      <c r="C49" s="3"/>
      <c r="D49" s="3"/>
    </row>
    <row r="55" spans="1:4" s="1" customFormat="1">
      <c r="B55" s="1" t="s">
        <v>0</v>
      </c>
      <c r="C55" s="2"/>
      <c r="D55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3"/>
  <sheetViews>
    <sheetView topLeftCell="A16" zoomScale="75" zoomScaleNormal="50" workbookViewId="0">
      <selection activeCell="C45" sqref="C45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80" t="s">
        <v>59</v>
      </c>
      <c r="B7" s="80"/>
      <c r="C7" s="80"/>
      <c r="D7" s="80"/>
      <c r="E7" s="80"/>
      <c r="F7" s="80"/>
      <c r="G7" s="80"/>
    </row>
    <row r="8" spans="1:7" ht="18.75">
      <c r="A8" s="80" t="s">
        <v>58</v>
      </c>
      <c r="B8" s="80"/>
      <c r="C8" s="80"/>
      <c r="D8" s="80"/>
      <c r="E8" s="80"/>
      <c r="F8" s="80"/>
      <c r="G8" s="80"/>
    </row>
    <row r="9" spans="1:7" ht="18.75">
      <c r="A9" s="80" t="s">
        <v>45</v>
      </c>
      <c r="B9" s="80"/>
      <c r="C9" s="80"/>
      <c r="D9" s="80"/>
      <c r="E9" s="80"/>
      <c r="F9" s="80"/>
      <c r="G9" s="80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4689.8</v>
      </c>
    </row>
    <row r="12" spans="1:7" ht="16.5" thickBot="1">
      <c r="A12" s="84" t="s">
        <v>44</v>
      </c>
      <c r="B12" s="86" t="s">
        <v>43</v>
      </c>
      <c r="C12" s="81" t="s">
        <v>42</v>
      </c>
      <c r="D12" s="82"/>
      <c r="E12" s="82"/>
      <c r="F12" s="83"/>
      <c r="G12" s="88" t="s">
        <v>41</v>
      </c>
    </row>
    <row r="13" spans="1:7">
      <c r="A13" s="85"/>
      <c r="B13" s="87"/>
      <c r="C13" s="72" t="s">
        <v>40</v>
      </c>
      <c r="D13" s="71" t="s">
        <v>39</v>
      </c>
      <c r="E13" s="70"/>
      <c r="F13" s="69" t="s">
        <v>38</v>
      </c>
      <c r="G13" s="89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284793.25737163814</v>
      </c>
      <c r="E17" s="39">
        <f>SUM(E18:E21)</f>
        <v>30.929095354523231</v>
      </c>
      <c r="F17" s="38">
        <f>SUM(F18:F21)</f>
        <v>279879.82726161368</v>
      </c>
      <c r="G17" s="37">
        <f>G18+G19+G20+G21</f>
        <v>263271.39199999999</v>
      </c>
    </row>
    <row r="18" spans="1:7">
      <c r="A18" s="33"/>
      <c r="B18" s="35" t="s">
        <v>33</v>
      </c>
      <c r="C18" s="36">
        <v>2.58</v>
      </c>
      <c r="D18" s="27">
        <f>C18/C43*D43</f>
        <v>145210.79130806847</v>
      </c>
      <c r="E18" s="27">
        <f>D18/$D$39*100</f>
        <v>15.770171149144257</v>
      </c>
      <c r="F18" s="27">
        <f>C18/C43*F43</f>
        <v>142705.52457212715</v>
      </c>
      <c r="G18" s="61">
        <f>2.24*G11*12</f>
        <v>126061.82400000002</v>
      </c>
    </row>
    <row r="19" spans="1:7">
      <c r="A19" s="33"/>
      <c r="B19" s="35" t="s">
        <v>32</v>
      </c>
      <c r="C19" s="31">
        <v>1.75</v>
      </c>
      <c r="D19" s="27">
        <f>C19/C43*D43</f>
        <v>98495.691778728607</v>
      </c>
      <c r="E19" s="27">
        <f>D19/$D$39*100</f>
        <v>10.696821515892422</v>
      </c>
      <c r="F19" s="27">
        <f>C19/C43*F43</f>
        <v>96796.382946210273</v>
      </c>
      <c r="G19" s="61">
        <f>1.66*G11*12</f>
        <v>93420.816000000006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38835.444187041569</v>
      </c>
      <c r="E20" s="27">
        <f>D20/$D$39*100</f>
        <v>4.2176039119804409</v>
      </c>
      <c r="F20" s="27">
        <f>C20/C43*F43</f>
        <v>38165.430990220048</v>
      </c>
      <c r="G20" s="61">
        <f>0.77*G11*12</f>
        <v>43333.752</v>
      </c>
    </row>
    <row r="21" spans="1:7">
      <c r="A21" s="60"/>
      <c r="B21" s="59" t="s">
        <v>30</v>
      </c>
      <c r="C21" s="58">
        <v>0.04</v>
      </c>
      <c r="D21" s="27">
        <f>C21/C43*D43</f>
        <v>2251.3300977995109</v>
      </c>
      <c r="E21" s="27">
        <f>D21/$D$39*100</f>
        <v>0.24449877750611246</v>
      </c>
      <c r="F21" s="27">
        <f>C21/C43*F43</f>
        <v>2212.4887530562346</v>
      </c>
      <c r="G21" s="57">
        <v>455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175040.91510391198</v>
      </c>
      <c r="E24" s="39">
        <f>E25+E26</f>
        <v>19.009779951100249</v>
      </c>
      <c r="F24" s="38">
        <f>F25+F26</f>
        <v>172021.00055012226</v>
      </c>
      <c r="G24" s="37">
        <f>G25+G26</f>
        <v>85025.4</v>
      </c>
    </row>
    <row r="25" spans="1:7">
      <c r="A25" s="33"/>
      <c r="B25" s="35" t="s">
        <v>26</v>
      </c>
      <c r="C25" s="36">
        <v>2.36</v>
      </c>
      <c r="D25" s="27">
        <f>C25/C43*D43</f>
        <v>132828.47577017115</v>
      </c>
      <c r="E25" s="27">
        <f>D25/$D$39*100</f>
        <v>14.425427872860638</v>
      </c>
      <c r="F25" s="27">
        <f>C25/C43*F43</f>
        <v>130536.83643031785</v>
      </c>
      <c r="G25" s="26">
        <v>72075</v>
      </c>
    </row>
    <row r="26" spans="1:7">
      <c r="A26" s="33"/>
      <c r="B26" s="35" t="s">
        <v>25</v>
      </c>
      <c r="C26" s="31">
        <v>0.75</v>
      </c>
      <c r="D26" s="27">
        <f>C26/C43*D43</f>
        <v>42212.439333740833</v>
      </c>
      <c r="E26" s="27">
        <f>D26/$D$39*100</f>
        <v>4.5843520782396094</v>
      </c>
      <c r="F26" s="27">
        <f>C26/C43*F43</f>
        <v>41484.164119804402</v>
      </c>
      <c r="G26" s="26">
        <v>12950.4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92304.534009779949</v>
      </c>
      <c r="E27" s="21">
        <f>E28+E29</f>
        <v>10.024449877750612</v>
      </c>
      <c r="F27" s="20">
        <f>F28+F29</f>
        <v>90712.038875305618</v>
      </c>
      <c r="G27" s="19">
        <f>G28+G29</f>
        <v>4001.6</v>
      </c>
    </row>
    <row r="28" spans="1:7">
      <c r="A28" s="33"/>
      <c r="B28" s="32" t="s">
        <v>22</v>
      </c>
      <c r="C28" s="31">
        <v>0.84</v>
      </c>
      <c r="D28" s="27">
        <f>C28/C43*D43</f>
        <v>47277.932053789729</v>
      </c>
      <c r="E28" s="27">
        <f>D28/$D$39*100</f>
        <v>5.1344743276283618</v>
      </c>
      <c r="F28" s="27">
        <f>C28/C43*F43</f>
        <v>46462.263814180929</v>
      </c>
      <c r="G28" s="26">
        <v>764</v>
      </c>
    </row>
    <row r="29" spans="1:7">
      <c r="A29" s="33"/>
      <c r="B29" s="32" t="s">
        <v>21</v>
      </c>
      <c r="C29" s="31">
        <v>0.8</v>
      </c>
      <c r="D29" s="27">
        <f>C29/C43*D43</f>
        <v>45026.601955990227</v>
      </c>
      <c r="E29" s="27">
        <f>D29/$D$39*100</f>
        <v>4.8899755501222506</v>
      </c>
      <c r="F29" s="27">
        <f>C29/C43*F43</f>
        <v>44249.775061124696</v>
      </c>
      <c r="G29" s="26">
        <v>3237.6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68102.7354584352</v>
      </c>
      <c r="E30" s="25">
        <f>D30/$D$39*100</f>
        <v>7.3960880195599019</v>
      </c>
      <c r="F30" s="25">
        <f>C30/C43*F43</f>
        <v>66927.784779951093</v>
      </c>
      <c r="G30" s="19">
        <f>1.18*G11*12</f>
        <v>66407.567999999999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255525.96610024455</v>
      </c>
      <c r="E31" s="21">
        <f>SUM(E32:E37)</f>
        <v>27.750611246943773</v>
      </c>
      <c r="F31" s="20">
        <f>SUM(F32:F37)</f>
        <v>251117.47347188267</v>
      </c>
      <c r="G31" s="19">
        <f>G32+G33+G34+G35+G36+G37</f>
        <v>267318.59999999998</v>
      </c>
    </row>
    <row r="32" spans="1:7" ht="19.5">
      <c r="A32" s="18"/>
      <c r="B32" s="32" t="s">
        <v>16</v>
      </c>
      <c r="C32" s="31">
        <v>2.08</v>
      </c>
      <c r="D32" s="27">
        <f>C32/C43*D43</f>
        <v>117069.16508557458</v>
      </c>
      <c r="E32" s="27">
        <f t="shared" ref="E32:E40" si="0">D32/$D$39*100</f>
        <v>12.713936430317851</v>
      </c>
      <c r="F32" s="27">
        <f>C32/C43*F43</f>
        <v>115049.41515892421</v>
      </c>
      <c r="G32" s="34">
        <f>2.57*G11*12</f>
        <v>144633.432</v>
      </c>
    </row>
    <row r="33" spans="1:7">
      <c r="A33" s="33"/>
      <c r="B33" s="32" t="s">
        <v>15</v>
      </c>
      <c r="C33" s="31">
        <v>0.78</v>
      </c>
      <c r="D33" s="27">
        <f>C33/C43*D43</f>
        <v>43900.936907090472</v>
      </c>
      <c r="E33" s="27">
        <f t="shared" si="0"/>
        <v>4.7677261613691941</v>
      </c>
      <c r="F33" s="27">
        <f>C33/C43*F43</f>
        <v>43143.530684596582</v>
      </c>
      <c r="G33" s="26">
        <f xml:space="preserve"> 0.57*G11*12</f>
        <v>32078.231999999996</v>
      </c>
    </row>
    <row r="34" spans="1:7">
      <c r="A34" s="30"/>
      <c r="B34" s="29" t="s">
        <v>14</v>
      </c>
      <c r="C34" s="28">
        <v>0.5</v>
      </c>
      <c r="D34" s="27">
        <f>C34/C43*D43</f>
        <v>28141.626222493891</v>
      </c>
      <c r="E34" s="27">
        <f t="shared" si="0"/>
        <v>3.0562347188264067</v>
      </c>
      <c r="F34" s="27">
        <f>C34/C43*F43</f>
        <v>27656.109413202936</v>
      </c>
      <c r="G34" s="26">
        <f xml:space="preserve"> 0.28*G11*12</f>
        <v>15757.728000000003</v>
      </c>
    </row>
    <row r="35" spans="1:7">
      <c r="A35" s="30"/>
      <c r="B35" s="29" t="s">
        <v>13</v>
      </c>
      <c r="C35" s="28">
        <v>0.35</v>
      </c>
      <c r="D35" s="27">
        <f>C35/C43*D43</f>
        <v>19699.138355745719</v>
      </c>
      <c r="E35" s="27">
        <f t="shared" si="0"/>
        <v>2.1393643031784841</v>
      </c>
      <c r="F35" s="27">
        <f>C35/C43*F43</f>
        <v>19359.276589242054</v>
      </c>
      <c r="G35" s="26">
        <f xml:space="preserve"> 0.19*G11*12</f>
        <v>10692.744000000001</v>
      </c>
    </row>
    <row r="36" spans="1:7">
      <c r="A36" s="30"/>
      <c r="B36" s="29" t="s">
        <v>12</v>
      </c>
      <c r="C36" s="28">
        <v>0.39</v>
      </c>
      <c r="D36" s="27">
        <f>C36/C43*D43</f>
        <v>21950.468453545236</v>
      </c>
      <c r="E36" s="27">
        <f t="shared" si="0"/>
        <v>2.3838630806845971</v>
      </c>
      <c r="F36" s="27">
        <f>C36/C43*F43</f>
        <v>21571.765342298291</v>
      </c>
      <c r="G36" s="26">
        <f xml:space="preserve"> 0.28*G11*12</f>
        <v>15757.728000000003</v>
      </c>
    </row>
    <row r="37" spans="1:7">
      <c r="A37" s="30"/>
      <c r="B37" s="29" t="s">
        <v>11</v>
      </c>
      <c r="C37" s="28">
        <v>0.44</v>
      </c>
      <c r="D37" s="27">
        <f>C37/C43*D43</f>
        <v>24764.631075794623</v>
      </c>
      <c r="E37" s="27">
        <f t="shared" si="0"/>
        <v>2.6894865525672378</v>
      </c>
      <c r="F37" s="27">
        <f>C37/C43*F43</f>
        <v>24337.376283618585</v>
      </c>
      <c r="G37" s="26">
        <f xml:space="preserve"> 0.86*G11*12</f>
        <v>48398.736000000004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45026.601955990227</v>
      </c>
      <c r="E38" s="25">
        <f t="shared" si="0"/>
        <v>4.8899755501222506</v>
      </c>
      <c r="F38" s="25">
        <f>C38/C43*F43</f>
        <v>44249.775061124696</v>
      </c>
      <c r="G38" s="19">
        <f xml:space="preserve"> 0.81*G11*12</f>
        <v>45584.856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920794.00999999989</v>
      </c>
      <c r="E39" s="24">
        <f t="shared" si="0"/>
        <v>100</v>
      </c>
      <c r="F39" s="20">
        <f>F17+F24+F27+F30+F31+F38</f>
        <v>904907.89999999991</v>
      </c>
      <c r="G39" s="19">
        <f>G17+G24+G27+G30+G31+G38</f>
        <v>731609.41599999997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920794.01</v>
      </c>
      <c r="E43" s="9">
        <f>E39+E41</f>
        <v>118</v>
      </c>
      <c r="F43" s="8">
        <v>904907.9</v>
      </c>
      <c r="G43" s="7">
        <f>G39+G40</f>
        <v>731609.41599999997</v>
      </c>
    </row>
    <row r="44" spans="1:7">
      <c r="D44" s="2" t="s">
        <v>6</v>
      </c>
      <c r="F44" s="6">
        <f>F43/D43</f>
        <v>0.98274737907993126</v>
      </c>
    </row>
    <row r="45" spans="1:7">
      <c r="D45" s="4" t="s">
        <v>5</v>
      </c>
      <c r="E45" s="3"/>
      <c r="F45" s="3"/>
      <c r="G45" s="3">
        <f>F43-G43</f>
        <v>173298.48400000005</v>
      </c>
    </row>
    <row r="46" spans="1:7" ht="18.75">
      <c r="A46" s="5"/>
      <c r="B46" s="4" t="s">
        <v>4</v>
      </c>
      <c r="C46" s="3">
        <v>166111.19</v>
      </c>
      <c r="D46" s="3" t="s">
        <v>2</v>
      </c>
    </row>
    <row r="47" spans="1:7" ht="18.75">
      <c r="A47" s="5"/>
      <c r="B47" s="4" t="s">
        <v>3</v>
      </c>
      <c r="C47" s="3">
        <f>D43-F43</f>
        <v>15886.109999999986</v>
      </c>
      <c r="D47" s="3" t="s">
        <v>2</v>
      </c>
    </row>
    <row r="48" spans="1:7" ht="18.75">
      <c r="A48" s="5"/>
      <c r="B48" s="4" t="s">
        <v>1</v>
      </c>
      <c r="C48" s="3">
        <f>C46+C47</f>
        <v>181997.3</v>
      </c>
      <c r="D48" s="3" t="s">
        <v>2</v>
      </c>
    </row>
    <row r="49" spans="1:4" s="1" customFormat="1" ht="18.75">
      <c r="A49" s="5"/>
      <c r="B49" s="4"/>
      <c r="C49" s="3"/>
      <c r="D49" s="3"/>
    </row>
    <row r="53" spans="1:4" s="1" customFormat="1">
      <c r="B53" s="1" t="s">
        <v>0</v>
      </c>
      <c r="C53" s="2"/>
      <c r="D53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МЖК 1</vt:lpstr>
      <vt:lpstr>МЖК 7</vt:lpstr>
      <vt:lpstr>МЖК 9</vt:lpstr>
      <vt:lpstr>МЖК 10</vt:lpstr>
      <vt:lpstr>МЖК 11</vt:lpstr>
      <vt:lpstr>МЖК 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2014-05-29T11:57:45Z</dcterms:modified>
</cp:coreProperties>
</file>