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МЖК 1" sheetId="4" r:id="rId1"/>
    <sheet name="МЖК 7" sheetId="5" r:id="rId2"/>
    <sheet name="МЖК 9" sheetId="6" r:id="rId3"/>
    <sheet name="МЖК 10" sheetId="7" r:id="rId4"/>
    <sheet name="МЖК 11" sheetId="8" r:id="rId5"/>
    <sheet name="МЖК 18" sheetId="9" r:id="rId6"/>
  </sheets>
  <calcPr calcId="124519"/>
</workbook>
</file>

<file path=xl/calcChain.xml><?xml version="1.0" encoding="utf-8"?>
<calcChain xmlns="http://schemas.openxmlformats.org/spreadsheetml/2006/main">
  <c r="G26" i="9"/>
  <c r="G29"/>
  <c r="G27" s="1"/>
  <c r="G33"/>
  <c r="G32"/>
  <c r="G34"/>
  <c r="G30"/>
  <c r="G20"/>
  <c r="G19"/>
  <c r="G18"/>
  <c r="G31"/>
  <c r="C31"/>
  <c r="G30" i="7"/>
  <c r="G25" i="8"/>
  <c r="G28"/>
  <c r="G26"/>
  <c r="G29"/>
  <c r="G33"/>
  <c r="G32"/>
  <c r="G34"/>
  <c r="G30"/>
  <c r="G20"/>
  <c r="G19"/>
  <c r="G18"/>
  <c r="G31"/>
  <c r="C31"/>
  <c r="C35" s="1"/>
  <c r="C39" s="1"/>
  <c r="G29" i="7"/>
  <c r="G26"/>
  <c r="G24"/>
  <c r="G20"/>
  <c r="G19"/>
  <c r="G18"/>
  <c r="G34"/>
  <c r="G33"/>
  <c r="G32"/>
  <c r="G33" i="6"/>
  <c r="G31" s="1"/>
  <c r="G31" i="7"/>
  <c r="C31"/>
  <c r="G32" i="6"/>
  <c r="G34"/>
  <c r="G30"/>
  <c r="G20"/>
  <c r="G19"/>
  <c r="G18"/>
  <c r="C31"/>
  <c r="G26" i="5"/>
  <c r="G29"/>
  <c r="G26" i="6"/>
  <c r="G24" s="1"/>
  <c r="G29"/>
  <c r="G33" i="5"/>
  <c r="G31" s="1"/>
  <c r="G32"/>
  <c r="G34"/>
  <c r="G30"/>
  <c r="G20"/>
  <c r="G19"/>
  <c r="G18"/>
  <c r="C31"/>
  <c r="G26" i="4"/>
  <c r="G29"/>
  <c r="G33"/>
  <c r="G32"/>
  <c r="G34"/>
  <c r="G30"/>
  <c r="G20"/>
  <c r="G19"/>
  <c r="G18"/>
  <c r="C31"/>
  <c r="C17" i="9"/>
  <c r="C24"/>
  <c r="G24"/>
  <c r="C27"/>
  <c r="F40"/>
  <c r="C43"/>
  <c r="C44" s="1"/>
  <c r="C17" i="8"/>
  <c r="C24"/>
  <c r="G24"/>
  <c r="C27"/>
  <c r="G27"/>
  <c r="F40"/>
  <c r="C43"/>
  <c r="C44" s="1"/>
  <c r="C17" i="7"/>
  <c r="C24"/>
  <c r="C27"/>
  <c r="G27"/>
  <c r="F40"/>
  <c r="C43"/>
  <c r="C44" s="1"/>
  <c r="C17" i="6"/>
  <c r="C24"/>
  <c r="C27"/>
  <c r="G27"/>
  <c r="F40"/>
  <c r="C43"/>
  <c r="C44"/>
  <c r="C17" i="5"/>
  <c r="C24"/>
  <c r="G24"/>
  <c r="C27"/>
  <c r="G27"/>
  <c r="C35"/>
  <c r="C39" s="1"/>
  <c r="F40"/>
  <c r="C43"/>
  <c r="C44" s="1"/>
  <c r="C17" i="4"/>
  <c r="C24"/>
  <c r="G24"/>
  <c r="C27"/>
  <c r="G27"/>
  <c r="G31"/>
  <c r="C43"/>
  <c r="C44" s="1"/>
  <c r="G17" i="9" l="1"/>
  <c r="C35"/>
  <c r="C39" s="1"/>
  <c r="G17" i="8"/>
  <c r="C35" i="7"/>
  <c r="C39" s="1"/>
  <c r="D18" s="1"/>
  <c r="G17"/>
  <c r="G35" s="1"/>
  <c r="G39" s="1"/>
  <c r="C35" i="6"/>
  <c r="C39" s="1"/>
  <c r="G17"/>
  <c r="G35" s="1"/>
  <c r="G39" s="1"/>
  <c r="G17" i="5"/>
  <c r="G17" i="4"/>
  <c r="C35"/>
  <c r="C39" s="1"/>
  <c r="D18" s="1"/>
  <c r="F19"/>
  <c r="F21"/>
  <c r="F29"/>
  <c r="F33"/>
  <c r="F26"/>
  <c r="F30"/>
  <c r="D26" i="5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F19" i="7"/>
  <c r="F21"/>
  <c r="F29"/>
  <c r="F33"/>
  <c r="F26"/>
  <c r="F30"/>
  <c r="D18" i="9"/>
  <c r="F18"/>
  <c r="D19"/>
  <c r="F19"/>
  <c r="D20"/>
  <c r="F20"/>
  <c r="D21"/>
  <c r="F21"/>
  <c r="D25"/>
  <c r="F25"/>
  <c r="D29"/>
  <c r="F29"/>
  <c r="D32"/>
  <c r="F32"/>
  <c r="D33"/>
  <c r="F33"/>
  <c r="D34"/>
  <c r="F34"/>
  <c r="D26"/>
  <c r="F26"/>
  <c r="D28"/>
  <c r="F28"/>
  <c r="F27" s="1"/>
  <c r="D30"/>
  <c r="F30"/>
  <c r="G35" i="4"/>
  <c r="G39" s="1"/>
  <c r="G35" i="5"/>
  <c r="G39" s="1"/>
  <c r="D26" i="6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D26" i="8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G35" i="9" l="1"/>
  <c r="G39" s="1"/>
  <c r="G35" i="8"/>
  <c r="G39" s="1"/>
  <c r="F28" i="7"/>
  <c r="F27" s="1"/>
  <c r="F34"/>
  <c r="F32"/>
  <c r="F25"/>
  <c r="F24" s="1"/>
  <c r="F20"/>
  <c r="F18"/>
  <c r="D30"/>
  <c r="D28"/>
  <c r="D26"/>
  <c r="D34"/>
  <c r="D33"/>
  <c r="D32"/>
  <c r="D29"/>
  <c r="D27" s="1"/>
  <c r="D25"/>
  <c r="D21"/>
  <c r="D20"/>
  <c r="D19"/>
  <c r="F28" i="4"/>
  <c r="F27" s="1"/>
  <c r="F34"/>
  <c r="F32"/>
  <c r="F25"/>
  <c r="F20"/>
  <c r="F18"/>
  <c r="F17" s="1"/>
  <c r="D30"/>
  <c r="D28"/>
  <c r="D26"/>
  <c r="D34"/>
  <c r="D33"/>
  <c r="D32"/>
  <c r="D31" s="1"/>
  <c r="D29"/>
  <c r="D25"/>
  <c r="D24" s="1"/>
  <c r="D21"/>
  <c r="D20"/>
  <c r="D17" s="1"/>
  <c r="D19"/>
  <c r="F31" i="7"/>
  <c r="D31" i="8"/>
  <c r="D24"/>
  <c r="D17"/>
  <c r="D27"/>
  <c r="D31" i="6"/>
  <c r="D24"/>
  <c r="D17"/>
  <c r="D35" s="1"/>
  <c r="E34" s="1"/>
  <c r="D27"/>
  <c r="E28"/>
  <c r="D27" i="9"/>
  <c r="D31"/>
  <c r="D24"/>
  <c r="D17"/>
  <c r="D31" i="5"/>
  <c r="D24"/>
  <c r="D17"/>
  <c r="D27"/>
  <c r="D27" i="4"/>
  <c r="F31" i="8"/>
  <c r="F27"/>
  <c r="F27" i="6"/>
  <c r="F31" i="9"/>
  <c r="F24"/>
  <c r="F17"/>
  <c r="F17" i="8"/>
  <c r="F31" i="6"/>
  <c r="F17"/>
  <c r="F31" i="5"/>
  <c r="F17"/>
  <c r="F27"/>
  <c r="F31" i="4"/>
  <c r="F24"/>
  <c r="F35" i="9" l="1"/>
  <c r="D35" i="8"/>
  <c r="D17" i="7"/>
  <c r="D24"/>
  <c r="D31"/>
  <c r="F17"/>
  <c r="F35" s="1"/>
  <c r="E30" i="6"/>
  <c r="F35"/>
  <c r="E29"/>
  <c r="D35" i="5"/>
  <c r="F35" i="8"/>
  <c r="E20" i="6"/>
  <c r="E36" i="5"/>
  <c r="E35"/>
  <c r="E36" i="6"/>
  <c r="E35"/>
  <c r="E36" i="8"/>
  <c r="E35"/>
  <c r="E27" i="6"/>
  <c r="F35" i="4"/>
  <c r="F35" i="5"/>
  <c r="E26"/>
  <c r="E19"/>
  <c r="E21"/>
  <c r="E33"/>
  <c r="E26" i="6"/>
  <c r="E19"/>
  <c r="E21"/>
  <c r="E33"/>
  <c r="E26" i="8"/>
  <c r="E19"/>
  <c r="E21"/>
  <c r="E33"/>
  <c r="D35" i="4"/>
  <c r="E18" i="5"/>
  <c r="E25"/>
  <c r="E24" s="1"/>
  <c r="E32"/>
  <c r="E31" s="1"/>
  <c r="D35" i="7"/>
  <c r="D35" i="9"/>
  <c r="E18" i="6"/>
  <c r="E25"/>
  <c r="E32"/>
  <c r="E18" i="8"/>
  <c r="E25"/>
  <c r="E24" s="1"/>
  <c r="E32"/>
  <c r="E31" s="1"/>
  <c r="E28" l="1"/>
  <c r="E29"/>
  <c r="E30"/>
  <c r="E34"/>
  <c r="E20"/>
  <c r="E17" s="1"/>
  <c r="E24" i="6"/>
  <c r="E28" i="5"/>
  <c r="E34"/>
  <c r="E20"/>
  <c r="E17" s="1"/>
  <c r="E29"/>
  <c r="E30"/>
  <c r="E35" i="9"/>
  <c r="E36"/>
  <c r="E28"/>
  <c r="E26"/>
  <c r="E33"/>
  <c r="E21"/>
  <c r="E19"/>
  <c r="E32"/>
  <c r="E25"/>
  <c r="E24" s="1"/>
  <c r="E18"/>
  <c r="E30"/>
  <c r="E34"/>
  <c r="E29"/>
  <c r="E20"/>
  <c r="E37" i="8"/>
  <c r="E39" s="1"/>
  <c r="E37" i="6"/>
  <c r="E39"/>
  <c r="E37" i="5"/>
  <c r="E39" s="1"/>
  <c r="E35" i="7"/>
  <c r="E36"/>
  <c r="E28"/>
  <c r="E26"/>
  <c r="E33"/>
  <c r="E21"/>
  <c r="E19"/>
  <c r="E32"/>
  <c r="E25"/>
  <c r="E18"/>
  <c r="E30"/>
  <c r="E34"/>
  <c r="E29"/>
  <c r="E20"/>
  <c r="E35" i="4"/>
  <c r="E36"/>
  <c r="E30"/>
  <c r="E20"/>
  <c r="E28"/>
  <c r="E26"/>
  <c r="E33"/>
  <c r="E21"/>
  <c r="E19"/>
  <c r="E32"/>
  <c r="E25"/>
  <c r="E18"/>
  <c r="E17" s="1"/>
  <c r="E34"/>
  <c r="E29"/>
  <c r="E31" i="6"/>
  <c r="E17"/>
  <c r="E27" i="9" l="1"/>
  <c r="E27" i="8"/>
  <c r="E27" i="5"/>
  <c r="E37" i="4"/>
  <c r="E39"/>
  <c r="E37" i="7"/>
  <c r="E39" s="1"/>
  <c r="E37" i="9"/>
  <c r="E39"/>
  <c r="E31" i="4"/>
  <c r="E17" i="7"/>
  <c r="E31"/>
  <c r="E24" i="4"/>
  <c r="E27"/>
  <c r="E24" i="7"/>
  <c r="E27"/>
  <c r="E17" i="9"/>
  <c r="E31"/>
</calcChain>
</file>

<file path=xl/sharedStrings.xml><?xml version="1.0" encoding="utf-8"?>
<sst xmlns="http://schemas.openxmlformats.org/spreadsheetml/2006/main" count="271" uniqueCount="52">
  <si>
    <t>Управляющая компания  ООО " ЖЭК"</t>
  </si>
  <si>
    <t>ИТОГО:</t>
  </si>
  <si>
    <t>руб</t>
  </si>
  <si>
    <t>Резерв</t>
  </si>
  <si>
    <t>Уровень оплаты</t>
  </si>
  <si>
    <t>Всего</t>
  </si>
  <si>
    <t xml:space="preserve"> Итого прямые расходы</t>
  </si>
  <si>
    <t>Услуги РКЦ (квитанция, услуги банка)</t>
  </si>
  <si>
    <t>6.</t>
  </si>
  <si>
    <t>Общеэксплуатационные расходы, в т.ч.</t>
  </si>
  <si>
    <t>5.</t>
  </si>
  <si>
    <t>Услуги аварийно-диспетчерской службы</t>
  </si>
  <si>
    <t>4.</t>
  </si>
  <si>
    <t>конструктиные элементы здания</t>
  </si>
  <si>
    <t>внутридомовое инжинерное оборудование</t>
  </si>
  <si>
    <t>Проведение технических осмотров,ремонт</t>
  </si>
  <si>
    <t>3.</t>
  </si>
  <si>
    <t>- конструктивные элементы зданий</t>
  </si>
  <si>
    <t>- внутридомовое инженерное оборудование</t>
  </si>
  <si>
    <t>к сезонной эксплуатации, всего:</t>
  </si>
  <si>
    <t xml:space="preserve">Подготовка многоквартирного дома </t>
  </si>
  <si>
    <t>2.</t>
  </si>
  <si>
    <t>- дезинсекция</t>
  </si>
  <si>
    <t xml:space="preserve">- электроэнергия </t>
  </si>
  <si>
    <t>-уборка лестничных клеток</t>
  </si>
  <si>
    <t>- уборка территории</t>
  </si>
  <si>
    <t>общего пользования, в т.ч.</t>
  </si>
  <si>
    <t>придомовых территорий и мест</t>
  </si>
  <si>
    <t>Содержание и благоустройство</t>
  </si>
  <si>
    <t>1.</t>
  </si>
  <si>
    <t>оплачено</t>
  </si>
  <si>
    <t>начислено</t>
  </si>
  <si>
    <t>на 1 кв.м</t>
  </si>
  <si>
    <t>Сумма расходов факт всего, руб.</t>
  </si>
  <si>
    <t>Сумма доходов всего, руб.</t>
  </si>
  <si>
    <t>Наименование статьи</t>
  </si>
  <si>
    <t>№ п/п</t>
  </si>
  <si>
    <t>по многоквартирному дому :  мкр  МЖК  дом.№1</t>
  </si>
  <si>
    <t xml:space="preserve"> Учет доходов и расходов по оплате за управление, содержание и текуший ремонт </t>
  </si>
  <si>
    <t xml:space="preserve">по многоквартирному дому : мкр   МЖК   дом № 7 </t>
  </si>
  <si>
    <t xml:space="preserve"> Текущий ремонт  подъездов -</t>
  </si>
  <si>
    <t>по многоквартирному дому :  мкр  МЖК    дом № 9</t>
  </si>
  <si>
    <t>по многоквартирному дому :  мкр   МЖК   дом № 10</t>
  </si>
  <si>
    <t>по многоквартирному дому :  мкр   МЖК   дом № 11</t>
  </si>
  <si>
    <t xml:space="preserve"> Учет  доходов и  расходов по оплате за управление, содержание и текуший ремонт </t>
  </si>
  <si>
    <t>по многоквартирному дому :  мкр   МЖК   дом № 18</t>
  </si>
  <si>
    <t xml:space="preserve"> Учет   доходов и расходов по оплате за управление, содержание и текуший ремонт </t>
  </si>
  <si>
    <t>за  2014 год</t>
  </si>
  <si>
    <t>Задолженность на 01.01.2014г -</t>
  </si>
  <si>
    <t xml:space="preserve">Задолженность за 2014г </t>
  </si>
  <si>
    <t>администра -тино зозяйственые расходы</t>
  </si>
  <si>
    <t>расходынаорганизацию и выполнение работ по МКД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</si>
</sst>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4" fontId="2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4" fillId="0" borderId="0" xfId="1" applyFont="1"/>
    <xf numFmtId="10" fontId="2" fillId="0" borderId="0" xfId="1" applyNumberFormat="1" applyFont="1"/>
    <xf numFmtId="4" fontId="5" fillId="2" borderId="1" xfId="1" applyNumberFormat="1" applyFont="1" applyFill="1" applyBorder="1"/>
    <xf numFmtId="4" fontId="5" fillId="2" borderId="2" xfId="1" applyNumberFormat="1" applyFont="1" applyFill="1" applyBorder="1"/>
    <xf numFmtId="4" fontId="5" fillId="2" borderId="3" xfId="1" applyNumberFormat="1" applyFont="1" applyFill="1" applyBorder="1"/>
    <xf numFmtId="4" fontId="5" fillId="2" borderId="4" xfId="1" applyNumberFormat="1" applyFont="1" applyFill="1" applyBorder="1"/>
    <xf numFmtId="49" fontId="5" fillId="2" borderId="2" xfId="1" applyNumberFormat="1" applyFont="1" applyFill="1" applyBorder="1"/>
    <xf numFmtId="0" fontId="5" fillId="2" borderId="5" xfId="1" applyFont="1" applyFill="1" applyBorder="1"/>
    <xf numFmtId="4" fontId="5" fillId="3" borderId="6" xfId="1" applyNumberFormat="1" applyFont="1" applyFill="1" applyBorder="1"/>
    <xf numFmtId="4" fontId="5" fillId="3" borderId="7" xfId="1" applyNumberFormat="1" applyFont="1" applyFill="1" applyBorder="1"/>
    <xf numFmtId="4" fontId="5" fillId="3" borderId="8" xfId="1" applyNumberFormat="1" applyFont="1" applyFill="1" applyBorder="1"/>
    <xf numFmtId="4" fontId="5" fillId="3" borderId="4" xfId="1" applyNumberFormat="1" applyFont="1" applyFill="1" applyBorder="1"/>
    <xf numFmtId="49" fontId="5" fillId="3" borderId="7" xfId="1" applyNumberFormat="1" applyFont="1" applyFill="1" applyBorder="1"/>
    <xf numFmtId="0" fontId="5" fillId="3" borderId="4" xfId="1" applyFont="1" applyFill="1" applyBorder="1"/>
    <xf numFmtId="4" fontId="5" fillId="2" borderId="6" xfId="1" applyNumberFormat="1" applyFont="1" applyFill="1" applyBorder="1"/>
    <xf numFmtId="4" fontId="5" fillId="2" borderId="7" xfId="1" applyNumberFormat="1" applyFont="1" applyFill="1" applyBorder="1"/>
    <xf numFmtId="4" fontId="5" fillId="2" borderId="8" xfId="1" applyNumberFormat="1" applyFont="1" applyFill="1" applyBorder="1"/>
    <xf numFmtId="49" fontId="5" fillId="2" borderId="7" xfId="1" applyNumberFormat="1" applyFont="1" applyFill="1" applyBorder="1"/>
    <xf numFmtId="0" fontId="5" fillId="2" borderId="4" xfId="1" applyFont="1" applyFill="1" applyBorder="1"/>
    <xf numFmtId="4" fontId="2" fillId="2" borderId="9" xfId="1" applyNumberFormat="1" applyFont="1" applyFill="1" applyBorder="1"/>
    <xf numFmtId="4" fontId="3" fillId="2" borderId="9" xfId="1" applyNumberFormat="1" applyFont="1" applyFill="1" applyBorder="1"/>
    <xf numFmtId="4" fontId="2" fillId="3" borderId="10" xfId="1" applyNumberFormat="1" applyFont="1" applyFill="1" applyBorder="1"/>
    <xf numFmtId="4" fontId="2" fillId="3" borderId="9" xfId="1" applyNumberFormat="1" applyFont="1" applyFill="1" applyBorder="1"/>
    <xf numFmtId="4" fontId="2" fillId="3" borderId="4" xfId="1" applyNumberFormat="1" applyFont="1" applyFill="1" applyBorder="1"/>
    <xf numFmtId="49" fontId="2" fillId="3" borderId="7" xfId="1" applyNumberFormat="1" applyFont="1" applyFill="1" applyBorder="1"/>
    <xf numFmtId="0" fontId="2" fillId="3" borderId="4" xfId="1" applyFont="1" applyFill="1" applyBorder="1"/>
    <xf numFmtId="4" fontId="6" fillId="3" borderId="6" xfId="1" applyNumberFormat="1" applyFont="1" applyFill="1" applyBorder="1"/>
    <xf numFmtId="49" fontId="2" fillId="3" borderId="11" xfId="1" applyNumberFormat="1" applyFont="1" applyFill="1" applyBorder="1"/>
    <xf numFmtId="4" fontId="2" fillId="3" borderId="12" xfId="1" applyNumberFormat="1" applyFont="1" applyFill="1" applyBorder="1"/>
    <xf numFmtId="4" fontId="5" fillId="2" borderId="10" xfId="1" applyNumberFormat="1" applyFont="1" applyFill="1" applyBorder="1"/>
    <xf numFmtId="4" fontId="5" fillId="2" borderId="13" xfId="1" applyNumberFormat="1" applyFont="1" applyFill="1" applyBorder="1"/>
    <xf numFmtId="4" fontId="5" fillId="2" borderId="14" xfId="1" applyNumberFormat="1" applyFont="1" applyFill="1" applyBorder="1"/>
    <xf numFmtId="4" fontId="5" fillId="2" borderId="12" xfId="1" applyNumberFormat="1" applyFont="1" applyFill="1" applyBorder="1"/>
    <xf numFmtId="0" fontId="5" fillId="2" borderId="15" xfId="1" applyFont="1" applyFill="1" applyBorder="1"/>
    <xf numFmtId="0" fontId="5" fillId="2" borderId="12" xfId="1" applyFont="1" applyFill="1" applyBorder="1"/>
    <xf numFmtId="4" fontId="5" fillId="2" borderId="16" xfId="1" applyNumberFormat="1" applyFont="1" applyFill="1" applyBorder="1"/>
    <xf numFmtId="4" fontId="5" fillId="2" borderId="17" xfId="1" applyNumberFormat="1" applyFont="1" applyFill="1" applyBorder="1"/>
    <xf numFmtId="4" fontId="5" fillId="2" borderId="18" xfId="1" applyNumberFormat="1" applyFont="1" applyFill="1" applyBorder="1"/>
    <xf numFmtId="4" fontId="5" fillId="2" borderId="0" xfId="1" applyNumberFormat="1" applyFont="1" applyFill="1" applyBorder="1"/>
    <xf numFmtId="4" fontId="5" fillId="2" borderId="19" xfId="1" applyNumberFormat="1" applyFont="1" applyFill="1" applyBorder="1"/>
    <xf numFmtId="0" fontId="5" fillId="2" borderId="20" xfId="1" applyFont="1" applyFill="1" applyBorder="1"/>
    <xf numFmtId="0" fontId="5" fillId="2" borderId="19" xfId="1" applyFont="1" applyFill="1" applyBorder="1"/>
    <xf numFmtId="4" fontId="5" fillId="2" borderId="21" xfId="1" applyNumberFormat="1" applyFont="1" applyFill="1" applyBorder="1"/>
    <xf numFmtId="4" fontId="5" fillId="2" borderId="22" xfId="1" applyNumberFormat="1" applyFont="1" applyFill="1" applyBorder="1"/>
    <xf numFmtId="4" fontId="5" fillId="2" borderId="23" xfId="1" applyNumberFormat="1" applyFont="1" applyFill="1" applyBorder="1"/>
    <xf numFmtId="4" fontId="5" fillId="2" borderId="24" xfId="1" applyNumberFormat="1" applyFont="1" applyFill="1" applyBorder="1"/>
    <xf numFmtId="4" fontId="5" fillId="2" borderId="25" xfId="1" applyNumberFormat="1" applyFont="1" applyFill="1" applyBorder="1"/>
    <xf numFmtId="0" fontId="5" fillId="2" borderId="26" xfId="1" applyFont="1" applyFill="1" applyBorder="1"/>
    <xf numFmtId="0" fontId="5" fillId="2" borderId="25" xfId="1" applyFont="1" applyFill="1" applyBorder="1"/>
    <xf numFmtId="4" fontId="2" fillId="3" borderId="16" xfId="1" applyNumberFormat="1" applyFont="1" applyFill="1" applyBorder="1"/>
    <xf numFmtId="4" fontId="2" fillId="3" borderId="25" xfId="1" applyNumberFormat="1" applyFont="1" applyFill="1" applyBorder="1"/>
    <xf numFmtId="49" fontId="2" fillId="3" borderId="15" xfId="1" applyNumberFormat="1" applyFont="1" applyFill="1" applyBorder="1"/>
    <xf numFmtId="0" fontId="2" fillId="3" borderId="12" xfId="1" applyFont="1" applyFill="1" applyBorder="1"/>
    <xf numFmtId="4" fontId="2" fillId="3" borderId="6" xfId="1" applyNumberFormat="1" applyFont="1" applyFill="1" applyBorder="1"/>
    <xf numFmtId="4" fontId="3" fillId="3" borderId="21" xfId="1" applyNumberFormat="1" applyFont="1" applyFill="1" applyBorder="1" applyAlignment="1">
      <alignment horizontal="center" vertical="center" wrapText="1"/>
    </xf>
    <xf numFmtId="4" fontId="3" fillId="3" borderId="26" xfId="1" applyNumberFormat="1" applyFont="1" applyFill="1" applyBorder="1" applyAlignment="1">
      <alignment horizontal="center"/>
    </xf>
    <xf numFmtId="4" fontId="3" fillId="3" borderId="8" xfId="1" applyNumberFormat="1" applyFont="1" applyFill="1" applyBorder="1" applyAlignment="1">
      <alignment horizontal="center"/>
    </xf>
    <xf numFmtId="4" fontId="3" fillId="3" borderId="27" xfId="1" applyNumberFormat="1" applyFont="1" applyFill="1" applyBorder="1" applyAlignment="1">
      <alignment horizontal="center"/>
    </xf>
    <xf numFmtId="4" fontId="3" fillId="3" borderId="25" xfId="1" applyNumberFormat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center"/>
    </xf>
    <xf numFmtId="4" fontId="3" fillId="2" borderId="28" xfId="1" applyNumberFormat="1" applyFont="1" applyFill="1" applyBorder="1" applyAlignment="1">
      <alignment horizontal="center"/>
    </xf>
    <xf numFmtId="4" fontId="3" fillId="2" borderId="29" xfId="1" applyNumberFormat="1" applyFont="1" applyFill="1" applyBorder="1" applyAlignment="1">
      <alignment horizontal="center"/>
    </xf>
    <xf numFmtId="4" fontId="3" fillId="2" borderId="19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/>
    <xf numFmtId="0" fontId="2" fillId="3" borderId="0" xfId="1" applyFont="1" applyFill="1"/>
    <xf numFmtId="4" fontId="7" fillId="3" borderId="0" xfId="1" applyNumberFormat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4" fontId="4" fillId="3" borderId="0" xfId="1" applyNumberFormat="1" applyFont="1" applyFill="1"/>
    <xf numFmtId="0" fontId="4" fillId="3" borderId="0" xfId="1" applyFont="1" applyFill="1"/>
    <xf numFmtId="4" fontId="8" fillId="3" borderId="9" xfId="1" applyNumberFormat="1" applyFont="1" applyFill="1" applyBorder="1"/>
    <xf numFmtId="0" fontId="7" fillId="3" borderId="0" xfId="1" applyFont="1" applyFill="1" applyAlignment="1">
      <alignment horizontal="center"/>
    </xf>
    <xf numFmtId="4" fontId="3" fillId="2" borderId="33" xfId="1" applyNumberFormat="1" applyFont="1" applyFill="1" applyBorder="1" applyAlignment="1">
      <alignment horizontal="center"/>
    </xf>
    <xf numFmtId="4" fontId="3" fillId="2" borderId="32" xfId="1" applyNumberFormat="1" applyFont="1" applyFill="1" applyBorder="1" applyAlignment="1">
      <alignment horizontal="center"/>
    </xf>
    <xf numFmtId="4" fontId="3" fillId="2" borderId="31" xfId="1" applyNumberFormat="1" applyFont="1" applyFill="1" applyBorder="1" applyAlignment="1">
      <alignment horizont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" fontId="3" fillId="2" borderId="30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13" zoomScale="75" zoomScaleNormal="50" workbookViewId="0">
      <selection activeCell="K42" sqref="K42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7" t="s">
        <v>38</v>
      </c>
      <c r="B7" s="77"/>
      <c r="C7" s="77"/>
      <c r="D7" s="77"/>
      <c r="E7" s="77"/>
      <c r="F7" s="77"/>
      <c r="G7" s="77"/>
    </row>
    <row r="8" spans="1:7" ht="18.75">
      <c r="A8" s="77" t="s">
        <v>37</v>
      </c>
      <c r="B8" s="77"/>
      <c r="C8" s="77"/>
      <c r="D8" s="77"/>
      <c r="E8" s="77"/>
      <c r="F8" s="77"/>
      <c r="G8" s="77"/>
    </row>
    <row r="9" spans="1:7" ht="18.75">
      <c r="A9" s="77" t="s">
        <v>47</v>
      </c>
      <c r="B9" s="77"/>
      <c r="C9" s="77"/>
      <c r="D9" s="77"/>
      <c r="E9" s="77"/>
      <c r="F9" s="77"/>
      <c r="G9" s="77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2349.4</v>
      </c>
    </row>
    <row r="12" spans="1:7" ht="16.5" thickBot="1">
      <c r="A12" s="81" t="s">
        <v>36</v>
      </c>
      <c r="B12" s="83" t="s">
        <v>35</v>
      </c>
      <c r="C12" s="78" t="s">
        <v>34</v>
      </c>
      <c r="D12" s="79"/>
      <c r="E12" s="79"/>
      <c r="F12" s="80"/>
      <c r="G12" s="85" t="s">
        <v>33</v>
      </c>
    </row>
    <row r="13" spans="1:7">
      <c r="A13" s="82"/>
      <c r="B13" s="84"/>
      <c r="C13" s="69" t="s">
        <v>32</v>
      </c>
      <c r="D13" s="68" t="s">
        <v>31</v>
      </c>
      <c r="E13" s="67"/>
      <c r="F13" s="66" t="s">
        <v>30</v>
      </c>
      <c r="G13" s="86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29</v>
      </c>
      <c r="B15" s="52" t="s">
        <v>28</v>
      </c>
      <c r="C15" s="51"/>
      <c r="D15" s="50"/>
      <c r="E15" s="49"/>
      <c r="F15" s="48"/>
      <c r="G15" s="47"/>
    </row>
    <row r="16" spans="1:7" ht="19.5">
      <c r="A16" s="46"/>
      <c r="B16" s="45" t="s">
        <v>27</v>
      </c>
      <c r="C16" s="44"/>
      <c r="D16" s="43"/>
      <c r="E16" s="42"/>
      <c r="F16" s="41"/>
      <c r="G16" s="40"/>
    </row>
    <row r="17" spans="1:7" ht="19.5">
      <c r="A17" s="39"/>
      <c r="B17" s="38" t="s">
        <v>26</v>
      </c>
      <c r="C17" s="37">
        <f>C18+C19+C20+C21</f>
        <v>5.0599999999999996</v>
      </c>
      <c r="D17" s="36">
        <f>SUM(D18:D21)</f>
        <v>142633.33987775064</v>
      </c>
      <c r="E17" s="36">
        <f>SUM(E18:E21)</f>
        <v>30.929095354523231</v>
      </c>
      <c r="F17" s="35">
        <f>SUM(F18:F21)</f>
        <v>122099.35882640588</v>
      </c>
      <c r="G17" s="34">
        <f>G18+G19+G20+G21</f>
        <v>122920.60800000001</v>
      </c>
    </row>
    <row r="18" spans="1:7">
      <c r="A18" s="30"/>
      <c r="B18" s="32" t="s">
        <v>25</v>
      </c>
      <c r="C18" s="33">
        <v>2.58</v>
      </c>
      <c r="D18" s="27">
        <f>C18/C39*D39</f>
        <v>72726.090293398534</v>
      </c>
      <c r="E18" s="27">
        <f>D18/$D$35*100</f>
        <v>15.770171149144256</v>
      </c>
      <c r="F18" s="27">
        <f>C18/C39*F39</f>
        <v>62256.194816625924</v>
      </c>
      <c r="G18" s="58">
        <f>2.33*G11*12</f>
        <v>65689.224000000017</v>
      </c>
    </row>
    <row r="19" spans="1:7">
      <c r="A19" s="30"/>
      <c r="B19" s="32" t="s">
        <v>24</v>
      </c>
      <c r="C19" s="28">
        <v>1.75</v>
      </c>
      <c r="D19" s="27">
        <f>C19/C39*D39</f>
        <v>49329.712408312967</v>
      </c>
      <c r="E19" s="27">
        <f>D19/$D$35*100</f>
        <v>10.696821515892422</v>
      </c>
      <c r="F19" s="27">
        <f>C19/C39*F39</f>
        <v>42228.039119804409</v>
      </c>
      <c r="G19" s="58">
        <f>1.4*G11*12</f>
        <v>39469.919999999998</v>
      </c>
    </row>
    <row r="20" spans="1:7">
      <c r="A20" s="30">
        <v>0</v>
      </c>
      <c r="B20" s="32" t="s">
        <v>23</v>
      </c>
      <c r="C20" s="28">
        <v>0.69</v>
      </c>
      <c r="D20" s="27">
        <f>C20/C39*D39</f>
        <v>19450.000892420539</v>
      </c>
      <c r="E20" s="27">
        <f>D20/$D$35*100</f>
        <v>4.21760391198044</v>
      </c>
      <c r="F20" s="27">
        <f>C20/C39*F39</f>
        <v>16649.912567237167</v>
      </c>
      <c r="G20" s="58">
        <f>0.63*G11*12</f>
        <v>17761.464</v>
      </c>
    </row>
    <row r="21" spans="1:7">
      <c r="A21" s="57"/>
      <c r="B21" s="56" t="s">
        <v>22</v>
      </c>
      <c r="C21" s="55">
        <v>0.04</v>
      </c>
      <c r="D21" s="27">
        <f>C21/C39*D39</f>
        <v>1127.536283618582</v>
      </c>
      <c r="E21" s="27">
        <f>D21/$D$35*100</f>
        <v>0.24449877750611246</v>
      </c>
      <c r="F21" s="27">
        <f>C21/C39*F39</f>
        <v>965.21232273838632</v>
      </c>
      <c r="G21" s="54">
        <v>0</v>
      </c>
    </row>
    <row r="22" spans="1:7" ht="19.5">
      <c r="A22" s="53" t="s">
        <v>21</v>
      </c>
      <c r="B22" s="52" t="s">
        <v>20</v>
      </c>
      <c r="C22" s="51"/>
      <c r="D22" s="50"/>
      <c r="E22" s="49"/>
      <c r="F22" s="48"/>
      <c r="G22" s="47"/>
    </row>
    <row r="23" spans="1:7" ht="19.5">
      <c r="A23" s="46"/>
      <c r="B23" s="45" t="s">
        <v>19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87665.946051344741</v>
      </c>
      <c r="E24" s="36">
        <f>E25+E26</f>
        <v>19.009779951100246</v>
      </c>
      <c r="F24" s="35">
        <f>F25+F26</f>
        <v>75045.258092909542</v>
      </c>
      <c r="G24" s="34">
        <f>G25+G26</f>
        <v>92120.3</v>
      </c>
    </row>
    <row r="25" spans="1:7">
      <c r="A25" s="30"/>
      <c r="B25" s="32" t="s">
        <v>18</v>
      </c>
      <c r="C25" s="33">
        <v>2.36</v>
      </c>
      <c r="D25" s="27">
        <f>C25/C39*D39</f>
        <v>66524.64073349633</v>
      </c>
      <c r="E25" s="27">
        <f>D25/$D$35*100</f>
        <v>14.425427872860636</v>
      </c>
      <c r="F25" s="27">
        <f>C25/C39*F39</f>
        <v>56947.527041564797</v>
      </c>
      <c r="G25" s="26">
        <v>71597</v>
      </c>
    </row>
    <row r="26" spans="1:7">
      <c r="A26" s="30"/>
      <c r="B26" s="32" t="s">
        <v>17</v>
      </c>
      <c r="C26" s="28">
        <v>0.75</v>
      </c>
      <c r="D26" s="27">
        <f>C26/C39*D39</f>
        <v>21141.305317848415</v>
      </c>
      <c r="E26" s="27">
        <f>D26/$D$35*100</f>
        <v>4.5843520782396094</v>
      </c>
      <c r="F26" s="27">
        <f>C26/C39*F39</f>
        <v>18097.731051344745</v>
      </c>
      <c r="G26" s="26">
        <f>29319-29319*0.3</f>
        <v>20523.300000000003</v>
      </c>
    </row>
    <row r="27" spans="1:7" ht="19.5">
      <c r="A27" s="23" t="s">
        <v>16</v>
      </c>
      <c r="B27" s="22" t="s">
        <v>15</v>
      </c>
      <c r="C27" s="10">
        <f>C28+C29</f>
        <v>1.6400000000000001</v>
      </c>
      <c r="D27" s="21">
        <f>D28+D29</f>
        <v>46228.987628361865</v>
      </c>
      <c r="E27" s="21">
        <f>E28+E29</f>
        <v>10.024449877750612</v>
      </c>
      <c r="F27" s="20">
        <f>F28+F29</f>
        <v>39573.705232273845</v>
      </c>
      <c r="G27" s="19">
        <f>G28+G29</f>
        <v>26773.699999999997</v>
      </c>
    </row>
    <row r="28" spans="1:7">
      <c r="A28" s="30"/>
      <c r="B28" s="29" t="s">
        <v>14</v>
      </c>
      <c r="C28" s="28">
        <v>0.84</v>
      </c>
      <c r="D28" s="27">
        <f>C28/C39*D39</f>
        <v>23678.261955990223</v>
      </c>
      <c r="E28" s="27">
        <f>D28/$D$35*100</f>
        <v>5.1344743276283618</v>
      </c>
      <c r="F28" s="27">
        <f>C28/C39*F39</f>
        <v>20269.458777506115</v>
      </c>
      <c r="G28" s="26">
        <v>16556</v>
      </c>
    </row>
    <row r="29" spans="1:7">
      <c r="A29" s="30"/>
      <c r="B29" s="29" t="s">
        <v>13</v>
      </c>
      <c r="C29" s="28">
        <v>0.8</v>
      </c>
      <c r="D29" s="27">
        <f>C29/C39*D39</f>
        <v>22550.725672371642</v>
      </c>
      <c r="E29" s="27">
        <f>D29/$D$35*100</f>
        <v>4.8899755501222497</v>
      </c>
      <c r="F29" s="27">
        <f>C29/C39*F39</f>
        <v>19304.24645476773</v>
      </c>
      <c r="G29" s="26">
        <f>29319*0.3+1422</f>
        <v>10217.699999999999</v>
      </c>
    </row>
    <row r="30" spans="1:7" ht="19.5">
      <c r="A30" s="23" t="s">
        <v>12</v>
      </c>
      <c r="B30" s="22" t="s">
        <v>11</v>
      </c>
      <c r="C30" s="10">
        <v>1.21</v>
      </c>
      <c r="D30" s="25">
        <f>C30/C39*D39</f>
        <v>34107.972579462104</v>
      </c>
      <c r="E30" s="25">
        <f>D30/$D$35*100</f>
        <v>7.3960880195599019</v>
      </c>
      <c r="F30" s="25">
        <f>C30/C39*F39</f>
        <v>29197.672762836184</v>
      </c>
      <c r="G30" s="19">
        <f>1.29*G11*12</f>
        <v>36368.712</v>
      </c>
    </row>
    <row r="31" spans="1:7" ht="19.5">
      <c r="A31" s="23" t="s">
        <v>10</v>
      </c>
      <c r="B31" s="22" t="s">
        <v>9</v>
      </c>
      <c r="C31" s="10">
        <f>C32+C33</f>
        <v>4.54</v>
      </c>
      <c r="D31" s="21">
        <f>SUM(D32:D33)</f>
        <v>127975.36819070905</v>
      </c>
      <c r="E31" s="21">
        <f>SUM(E32:E33)</f>
        <v>27.750611246943766</v>
      </c>
      <c r="F31" s="20">
        <f>SUM(F32:F33)</f>
        <v>109551.59863080685</v>
      </c>
      <c r="G31" s="19">
        <f>G32+G33</f>
        <v>174513.43199999997</v>
      </c>
    </row>
    <row r="32" spans="1:7" ht="19.5">
      <c r="A32" s="18"/>
      <c r="B32" s="29" t="s">
        <v>50</v>
      </c>
      <c r="C32" s="28">
        <v>1.38</v>
      </c>
      <c r="D32" s="27">
        <f>C32/C39*D39</f>
        <v>38900.001784841079</v>
      </c>
      <c r="E32" s="27">
        <f>D32/$D$35*100</f>
        <v>8.4352078239608801</v>
      </c>
      <c r="F32" s="27">
        <f>C32/C39*F39</f>
        <v>33299.825134474333</v>
      </c>
      <c r="G32" s="31">
        <f>2.26*G11*12</f>
        <v>63715.727999999988</v>
      </c>
    </row>
    <row r="33" spans="1:7">
      <c r="A33" s="30"/>
      <c r="B33" s="29" t="s">
        <v>51</v>
      </c>
      <c r="C33" s="28">
        <v>3.16</v>
      </c>
      <c r="D33" s="27">
        <f>C33/C39*D39</f>
        <v>89075.366405867971</v>
      </c>
      <c r="E33" s="27">
        <f>D33/$D$35*100</f>
        <v>19.315403422982886</v>
      </c>
      <c r="F33" s="27">
        <f>C33/C39*F39</f>
        <v>76251.77349633252</v>
      </c>
      <c r="G33" s="26">
        <f>3.93*G11*12</f>
        <v>110797.704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22550.725672371642</v>
      </c>
      <c r="E34" s="25">
        <f>D34/$D$35*100</f>
        <v>4.8899755501222497</v>
      </c>
      <c r="F34" s="25">
        <f>C34/C39*F39</f>
        <v>19304.24645476773</v>
      </c>
      <c r="G34" s="19">
        <f xml:space="preserve"> 1.01*G11*12</f>
        <v>28474.728000000003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461162.34</v>
      </c>
      <c r="E35" s="24">
        <f>D35/$D$35*100</f>
        <v>100</v>
      </c>
      <c r="F35" s="20">
        <f>F17+F24+F27+F30+F31+F34</f>
        <v>394771.83999999997</v>
      </c>
      <c r="G35" s="19">
        <f>G17+G24+G27+G30+G31+G34</f>
        <v>481171.48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461162.34</v>
      </c>
      <c r="E39" s="9">
        <f>E35+E37</f>
        <v>118</v>
      </c>
      <c r="F39" s="8">
        <v>394771.84</v>
      </c>
      <c r="G39" s="7">
        <f>G35+G36</f>
        <v>481171.48</v>
      </c>
    </row>
    <row r="40" spans="1:7">
      <c r="D40" s="2" t="s">
        <v>4</v>
      </c>
      <c r="F40" s="6">
        <v>0.94020000000000004</v>
      </c>
    </row>
    <row r="41" spans="1:7">
      <c r="F41" s="2" t="s">
        <v>3</v>
      </c>
    </row>
    <row r="42" spans="1:7" ht="18.75">
      <c r="A42" s="5"/>
      <c r="B42" s="4" t="s">
        <v>48</v>
      </c>
      <c r="C42" s="3">
        <v>322858.3</v>
      </c>
      <c r="D42" s="3" t="s">
        <v>2</v>
      </c>
    </row>
    <row r="43" spans="1:7" ht="18.75">
      <c r="A43" s="5"/>
      <c r="B43" s="4" t="s">
        <v>49</v>
      </c>
      <c r="C43" s="3">
        <f>D39-F39</f>
        <v>66390.5</v>
      </c>
      <c r="D43" s="3" t="s">
        <v>2</v>
      </c>
    </row>
    <row r="44" spans="1:7" ht="18.75">
      <c r="A44" s="5"/>
      <c r="B44" s="4" t="s">
        <v>1</v>
      </c>
      <c r="C44" s="3">
        <f>C42+C43</f>
        <v>389248.8</v>
      </c>
      <c r="D44" s="3"/>
    </row>
    <row r="45" spans="1:7" ht="18.75">
      <c r="A45" s="5"/>
      <c r="B45" s="4"/>
      <c r="C45" s="3"/>
      <c r="D45" s="3"/>
      <c r="E45" s="1"/>
      <c r="F45" s="1"/>
      <c r="G45" s="1"/>
    </row>
    <row r="51" spans="2:7">
      <c r="B51" s="1" t="s">
        <v>0</v>
      </c>
      <c r="E51" s="1"/>
      <c r="F51" s="1"/>
      <c r="G51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10" zoomScale="75" zoomScaleNormal="50" workbookViewId="0">
      <selection activeCell="L42" sqref="L42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7" t="s">
        <v>38</v>
      </c>
      <c r="B7" s="77"/>
      <c r="C7" s="77"/>
      <c r="D7" s="77"/>
      <c r="E7" s="77"/>
      <c r="F7" s="77"/>
      <c r="G7" s="77"/>
    </row>
    <row r="8" spans="1:7" ht="18.75">
      <c r="A8" s="77" t="s">
        <v>39</v>
      </c>
      <c r="B8" s="77"/>
      <c r="C8" s="77"/>
      <c r="D8" s="77"/>
      <c r="E8" s="77"/>
      <c r="F8" s="77"/>
      <c r="G8" s="77"/>
    </row>
    <row r="9" spans="1:7" ht="18.75">
      <c r="A9" s="77" t="s">
        <v>47</v>
      </c>
      <c r="B9" s="77"/>
      <c r="C9" s="77"/>
      <c r="D9" s="77"/>
      <c r="E9" s="77"/>
      <c r="F9" s="77"/>
      <c r="G9" s="77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2172.1999999999998</v>
      </c>
    </row>
    <row r="12" spans="1:7" ht="16.5" thickBot="1">
      <c r="A12" s="81" t="s">
        <v>36</v>
      </c>
      <c r="B12" s="83" t="s">
        <v>35</v>
      </c>
      <c r="C12" s="78" t="s">
        <v>34</v>
      </c>
      <c r="D12" s="79"/>
      <c r="E12" s="79"/>
      <c r="F12" s="80"/>
      <c r="G12" s="85" t="s">
        <v>33</v>
      </c>
    </row>
    <row r="13" spans="1:7">
      <c r="A13" s="82"/>
      <c r="B13" s="84"/>
      <c r="C13" s="69" t="s">
        <v>32</v>
      </c>
      <c r="D13" s="68" t="s">
        <v>31</v>
      </c>
      <c r="E13" s="67"/>
      <c r="F13" s="66" t="s">
        <v>30</v>
      </c>
      <c r="G13" s="86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29</v>
      </c>
      <c r="B15" s="52" t="s">
        <v>28</v>
      </c>
      <c r="C15" s="51"/>
      <c r="D15" s="50"/>
      <c r="E15" s="49"/>
      <c r="F15" s="48"/>
      <c r="G15" s="47"/>
    </row>
    <row r="16" spans="1:7" ht="19.5">
      <c r="A16" s="46"/>
      <c r="B16" s="45" t="s">
        <v>27</v>
      </c>
      <c r="C16" s="44"/>
      <c r="D16" s="43"/>
      <c r="E16" s="42"/>
      <c r="F16" s="41"/>
      <c r="G16" s="40"/>
    </row>
    <row r="17" spans="1:7" ht="19.5">
      <c r="A17" s="39"/>
      <c r="B17" s="38" t="s">
        <v>26</v>
      </c>
      <c r="C17" s="37">
        <f>C18+C19+C20+C21</f>
        <v>5.0599999999999996</v>
      </c>
      <c r="D17" s="36">
        <f>SUM(D18:D21)</f>
        <v>131896.42195599023</v>
      </c>
      <c r="E17" s="36">
        <f>SUM(E18:E21)</f>
        <v>30.929095354523231</v>
      </c>
      <c r="F17" s="35">
        <f>SUM(F18:F21)</f>
        <v>111791.82025672373</v>
      </c>
      <c r="G17" s="34">
        <f>G18+G19+G20+G21</f>
        <v>113649.50399999999</v>
      </c>
    </row>
    <row r="18" spans="1:7">
      <c r="A18" s="30"/>
      <c r="B18" s="32" t="s">
        <v>25</v>
      </c>
      <c r="C18" s="33">
        <v>2.58</v>
      </c>
      <c r="D18" s="27">
        <f>C18/C39*D39</f>
        <v>67251.535305623474</v>
      </c>
      <c r="E18" s="27">
        <f>D18/$D$35*100</f>
        <v>15.770171149144256</v>
      </c>
      <c r="F18" s="27">
        <f>C18/C39*F39</f>
        <v>57000.57238386308</v>
      </c>
      <c r="G18" s="58">
        <f>2.33*G11*12</f>
        <v>60734.712</v>
      </c>
    </row>
    <row r="19" spans="1:7">
      <c r="A19" s="30"/>
      <c r="B19" s="32" t="s">
        <v>24</v>
      </c>
      <c r="C19" s="28">
        <v>1.75</v>
      </c>
      <c r="D19" s="27">
        <f>C19/C39*D39</f>
        <v>45616.351466992666</v>
      </c>
      <c r="E19" s="27">
        <f>D19/$D$35*100</f>
        <v>10.696821515892422</v>
      </c>
      <c r="F19" s="27">
        <f>C19/C39*F39</f>
        <v>38663.178942542792</v>
      </c>
      <c r="G19" s="58">
        <f>1.4*G11*12</f>
        <v>36492.959999999992</v>
      </c>
    </row>
    <row r="20" spans="1:7">
      <c r="A20" s="30">
        <v>0</v>
      </c>
      <c r="B20" s="32" t="s">
        <v>23</v>
      </c>
      <c r="C20" s="28">
        <v>0.69</v>
      </c>
      <c r="D20" s="27">
        <f>C20/C39*D39</f>
        <v>17985.875721271394</v>
      </c>
      <c r="E20" s="27">
        <f>D20/$D$35*100</f>
        <v>4.21760391198044</v>
      </c>
      <c r="F20" s="27">
        <f>C20/C39*F39</f>
        <v>15244.339125916869</v>
      </c>
      <c r="G20" s="58">
        <f>0.63*G11*12</f>
        <v>16421.831999999999</v>
      </c>
    </row>
    <row r="21" spans="1:7">
      <c r="A21" s="57"/>
      <c r="B21" s="56" t="s">
        <v>22</v>
      </c>
      <c r="C21" s="55">
        <v>0.04</v>
      </c>
      <c r="D21" s="27">
        <f>C21/C39*D39</f>
        <v>1042.6594621026893</v>
      </c>
      <c r="E21" s="27">
        <f>D21/$D$35*100</f>
        <v>0.24449877750611243</v>
      </c>
      <c r="F21" s="27">
        <f>C21/C39*F39</f>
        <v>883.72980440097797</v>
      </c>
      <c r="G21" s="54">
        <v>0</v>
      </c>
    </row>
    <row r="22" spans="1:7" ht="19.5">
      <c r="A22" s="53" t="s">
        <v>21</v>
      </c>
      <c r="B22" s="52" t="s">
        <v>20</v>
      </c>
      <c r="C22" s="51"/>
      <c r="D22" s="50"/>
      <c r="E22" s="49"/>
      <c r="F22" s="48"/>
      <c r="G22" s="47"/>
    </row>
    <row r="23" spans="1:7" ht="19.5">
      <c r="A23" s="46"/>
      <c r="B23" s="45" t="s">
        <v>19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81066.773178484102</v>
      </c>
      <c r="E24" s="36">
        <f>E25+E26</f>
        <v>19.009779951100246</v>
      </c>
      <c r="F24" s="35">
        <f>F25+F26</f>
        <v>68709.992292176044</v>
      </c>
      <c r="G24" s="34">
        <f>G25+G26</f>
        <v>74961.5</v>
      </c>
    </row>
    <row r="25" spans="1:7">
      <c r="A25" s="30"/>
      <c r="B25" s="32" t="s">
        <v>18</v>
      </c>
      <c r="C25" s="33">
        <v>2.36</v>
      </c>
      <c r="D25" s="27">
        <f>C25/C39*D39</f>
        <v>61516.908264058678</v>
      </c>
      <c r="E25" s="27">
        <f>D25/$D$35*100</f>
        <v>14.425427872860636</v>
      </c>
      <c r="F25" s="27">
        <f>C25/C39*F39</f>
        <v>52140.058459657703</v>
      </c>
      <c r="G25" s="26">
        <v>52544</v>
      </c>
    </row>
    <row r="26" spans="1:7">
      <c r="A26" s="30"/>
      <c r="B26" s="32" t="s">
        <v>17</v>
      </c>
      <c r="C26" s="28">
        <v>0.75</v>
      </c>
      <c r="D26" s="27">
        <f>C26/C39*D39</f>
        <v>19549.864914425427</v>
      </c>
      <c r="E26" s="27">
        <f>D26/$D$35*100</f>
        <v>4.5843520782396094</v>
      </c>
      <c r="F26" s="27">
        <f>C26/C39*F39</f>
        <v>16569.933832518338</v>
      </c>
      <c r="G26" s="26">
        <f>32025-G29</f>
        <v>22417.5</v>
      </c>
    </row>
    <row r="27" spans="1:7" ht="19.5">
      <c r="A27" s="23" t="s">
        <v>16</v>
      </c>
      <c r="B27" s="22" t="s">
        <v>15</v>
      </c>
      <c r="C27" s="10">
        <f>C28+C29</f>
        <v>1.6400000000000001</v>
      </c>
      <c r="D27" s="21">
        <f>D28+D29</f>
        <v>42749.037946210272</v>
      </c>
      <c r="E27" s="21">
        <f>E28+E29</f>
        <v>10.024449877750612</v>
      </c>
      <c r="F27" s="20">
        <f>F28+F29</f>
        <v>36232.921980440093</v>
      </c>
      <c r="G27" s="19">
        <f>G28+G29</f>
        <v>26567.5</v>
      </c>
    </row>
    <row r="28" spans="1:7">
      <c r="A28" s="30"/>
      <c r="B28" s="29" t="s">
        <v>14</v>
      </c>
      <c r="C28" s="28">
        <v>0.84</v>
      </c>
      <c r="D28" s="27">
        <f>C28/C39*D39</f>
        <v>21895.848704156477</v>
      </c>
      <c r="E28" s="27">
        <f>D28/$D$35*100</f>
        <v>5.1344743276283618</v>
      </c>
      <c r="F28" s="27">
        <f>C28/C39*F39</f>
        <v>18558.325892420537</v>
      </c>
      <c r="G28" s="26">
        <v>16960</v>
      </c>
    </row>
    <row r="29" spans="1:7">
      <c r="A29" s="30"/>
      <c r="B29" s="29" t="s">
        <v>13</v>
      </c>
      <c r="C29" s="28">
        <v>0.8</v>
      </c>
      <c r="D29" s="27">
        <f>C29/C39*D39</f>
        <v>20853.189242053792</v>
      </c>
      <c r="E29" s="27">
        <f>D29/$D$35*100</f>
        <v>4.8899755501222506</v>
      </c>
      <c r="F29" s="27">
        <f>C29/C39*F39</f>
        <v>17674.59608801956</v>
      </c>
      <c r="G29" s="26">
        <f>32025*0.3</f>
        <v>9607.5</v>
      </c>
    </row>
    <row r="30" spans="1:7" ht="19.5">
      <c r="A30" s="23" t="s">
        <v>12</v>
      </c>
      <c r="B30" s="22" t="s">
        <v>11</v>
      </c>
      <c r="C30" s="10">
        <v>1.21</v>
      </c>
      <c r="D30" s="25">
        <f>C30/C39*D39</f>
        <v>31540.448728606352</v>
      </c>
      <c r="E30" s="25">
        <f>D30/$D$35*100</f>
        <v>7.3960880195599019</v>
      </c>
      <c r="F30" s="25">
        <f>C30/C39*F39</f>
        <v>26732.826583129583</v>
      </c>
      <c r="G30" s="19">
        <f>1.29*G11*12</f>
        <v>33625.656000000003</v>
      </c>
    </row>
    <row r="31" spans="1:7" ht="19.5">
      <c r="A31" s="23" t="s">
        <v>10</v>
      </c>
      <c r="B31" s="22" t="s">
        <v>9</v>
      </c>
      <c r="C31" s="10">
        <f>C32+C33</f>
        <v>4.54</v>
      </c>
      <c r="D31" s="21">
        <f>SUM(D32:D33)</f>
        <v>118341.84894865524</v>
      </c>
      <c r="E31" s="21">
        <f>SUM(E32:E33)</f>
        <v>27.750611246943766</v>
      </c>
      <c r="F31" s="20">
        <f>SUM(F32:F33)</f>
        <v>100303.332799511</v>
      </c>
      <c r="G31" s="19">
        <f>G32+G33</f>
        <v>161351.016</v>
      </c>
    </row>
    <row r="32" spans="1:7" ht="19.5">
      <c r="A32" s="18"/>
      <c r="B32" s="29" t="s">
        <v>50</v>
      </c>
      <c r="C32" s="28">
        <v>1.38</v>
      </c>
      <c r="D32" s="27">
        <f>C32/C39*D39</f>
        <v>35971.751442542787</v>
      </c>
      <c r="E32" s="27">
        <f>D32/$D$35*100</f>
        <v>8.4352078239608801</v>
      </c>
      <c r="F32" s="27">
        <f>C32/C39*F39</f>
        <v>30488.678251833739</v>
      </c>
      <c r="G32" s="31">
        <f>2.26*G11*12</f>
        <v>58910.063999999998</v>
      </c>
    </row>
    <row r="33" spans="1:7">
      <c r="A33" s="30"/>
      <c r="B33" s="29" t="s">
        <v>51</v>
      </c>
      <c r="C33" s="28">
        <v>3.16</v>
      </c>
      <c r="D33" s="27">
        <f>C33/C39*D39</f>
        <v>82370.097506112463</v>
      </c>
      <c r="E33" s="27">
        <f>D33/$D$35*100</f>
        <v>19.315403422982886</v>
      </c>
      <c r="F33" s="27">
        <f>C33/C39*F39</f>
        <v>69814.654547677259</v>
      </c>
      <c r="G33" s="26">
        <f xml:space="preserve"> 3.93*G11*12</f>
        <v>102440.95199999999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20853.189242053792</v>
      </c>
      <c r="E34" s="25">
        <f>D34/$D$35*100</f>
        <v>4.8899755501222506</v>
      </c>
      <c r="F34" s="25">
        <f>C34/C39*F39</f>
        <v>17674.59608801956</v>
      </c>
      <c r="G34" s="19">
        <f xml:space="preserve"> 1.01*G11*12</f>
        <v>26327.063999999998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426447.72</v>
      </c>
      <c r="E35" s="24">
        <f>D35/$D$35*100</f>
        <v>100</v>
      </c>
      <c r="F35" s="20">
        <f>F17+F24+F27+F30+F31+F34</f>
        <v>361445.49</v>
      </c>
      <c r="G35" s="19">
        <f>G17+G24+G27+G30+G31+G34</f>
        <v>436482.24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426447.72</v>
      </c>
      <c r="E39" s="9">
        <f>E35+E37</f>
        <v>118</v>
      </c>
      <c r="F39" s="8">
        <v>361445.49</v>
      </c>
      <c r="G39" s="7">
        <f>G35+G36</f>
        <v>436482.24</v>
      </c>
    </row>
    <row r="40" spans="1:7">
      <c r="D40" s="2" t="s">
        <v>4</v>
      </c>
      <c r="F40" s="6">
        <f>F39/D39</f>
        <v>0.84757280446944361</v>
      </c>
    </row>
    <row r="42" spans="1:7" ht="18.75">
      <c r="A42" s="5"/>
      <c r="B42" s="4" t="s">
        <v>48</v>
      </c>
      <c r="C42" s="3">
        <v>324108.26</v>
      </c>
      <c r="D42" s="3" t="s">
        <v>2</v>
      </c>
    </row>
    <row r="43" spans="1:7" ht="18.75">
      <c r="A43" s="5"/>
      <c r="B43" s="4" t="s">
        <v>49</v>
      </c>
      <c r="C43" s="3">
        <f>D39-F39</f>
        <v>65002.229999999981</v>
      </c>
      <c r="D43" s="3" t="s">
        <v>2</v>
      </c>
    </row>
    <row r="44" spans="1:7" ht="18.75">
      <c r="A44" s="5"/>
      <c r="B44" s="4" t="s">
        <v>1</v>
      </c>
      <c r="C44" s="3">
        <f>C42+C43</f>
        <v>389110.49</v>
      </c>
      <c r="D44" s="3" t="s">
        <v>2</v>
      </c>
    </row>
    <row r="45" spans="1:7" ht="18.75">
      <c r="A45" s="5"/>
      <c r="B45" s="4"/>
      <c r="C45" s="3"/>
      <c r="D45" s="3"/>
      <c r="E45" s="1"/>
      <c r="F45" s="1"/>
      <c r="G45" s="1"/>
    </row>
    <row r="50" spans="2:7">
      <c r="B50" s="1" t="s">
        <v>0</v>
      </c>
      <c r="E50" s="1"/>
      <c r="F50" s="1"/>
      <c r="G50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topLeftCell="A19" zoomScale="75" zoomScaleNormal="50" workbookViewId="0">
      <selection activeCell="G45" sqref="G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7" t="s">
        <v>38</v>
      </c>
      <c r="B7" s="77"/>
      <c r="C7" s="77"/>
      <c r="D7" s="77"/>
      <c r="E7" s="77"/>
      <c r="F7" s="77"/>
      <c r="G7" s="77"/>
    </row>
    <row r="8" spans="1:7" ht="18.75">
      <c r="A8" s="77" t="s">
        <v>41</v>
      </c>
      <c r="B8" s="77"/>
      <c r="C8" s="77"/>
      <c r="D8" s="77"/>
      <c r="E8" s="77"/>
      <c r="F8" s="77"/>
      <c r="G8" s="77"/>
    </row>
    <row r="9" spans="1:7" ht="18.75">
      <c r="A9" s="77" t="s">
        <v>47</v>
      </c>
      <c r="B9" s="77"/>
      <c r="C9" s="77"/>
      <c r="D9" s="77"/>
      <c r="E9" s="77"/>
      <c r="F9" s="77"/>
      <c r="G9" s="77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4622.3999999999996</v>
      </c>
    </row>
    <row r="12" spans="1:7" ht="16.5" thickBot="1">
      <c r="A12" s="81" t="s">
        <v>36</v>
      </c>
      <c r="B12" s="83" t="s">
        <v>35</v>
      </c>
      <c r="C12" s="78" t="s">
        <v>34</v>
      </c>
      <c r="D12" s="79"/>
      <c r="E12" s="79"/>
      <c r="F12" s="80"/>
      <c r="G12" s="85" t="s">
        <v>33</v>
      </c>
    </row>
    <row r="13" spans="1:7">
      <c r="A13" s="82"/>
      <c r="B13" s="84"/>
      <c r="C13" s="69" t="s">
        <v>32</v>
      </c>
      <c r="D13" s="68" t="s">
        <v>31</v>
      </c>
      <c r="E13" s="67"/>
      <c r="F13" s="66" t="s">
        <v>30</v>
      </c>
      <c r="G13" s="86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29</v>
      </c>
      <c r="B15" s="52" t="s">
        <v>28</v>
      </c>
      <c r="C15" s="51"/>
      <c r="D15" s="50"/>
      <c r="E15" s="49"/>
      <c r="F15" s="48"/>
      <c r="G15" s="47"/>
    </row>
    <row r="16" spans="1:7" ht="19.5">
      <c r="A16" s="46"/>
      <c r="B16" s="45" t="s">
        <v>27</v>
      </c>
      <c r="C16" s="44"/>
      <c r="D16" s="43"/>
      <c r="E16" s="42"/>
      <c r="F16" s="41"/>
      <c r="G16" s="40"/>
    </row>
    <row r="17" spans="1:7" ht="19.5">
      <c r="A17" s="39"/>
      <c r="B17" s="38" t="s">
        <v>26</v>
      </c>
      <c r="C17" s="37">
        <f>C18+C19+C20+C21</f>
        <v>5.0599999999999996</v>
      </c>
      <c r="D17" s="36">
        <f>SUM(D18:D21)</f>
        <v>280656.5372616137</v>
      </c>
      <c r="E17" s="36">
        <f>SUM(E18:E21)</f>
        <v>30.929095354523231</v>
      </c>
      <c r="F17" s="35">
        <f>SUM(F18:F21)</f>
        <v>284712.05612469435</v>
      </c>
      <c r="G17" s="34">
        <f>G18+G19+G20+G21</f>
        <v>241843.96799999994</v>
      </c>
    </row>
    <row r="18" spans="1:7">
      <c r="A18" s="30"/>
      <c r="B18" s="32" t="s">
        <v>25</v>
      </c>
      <c r="C18" s="33">
        <v>2.58</v>
      </c>
      <c r="D18" s="27">
        <f>C18/C39*D39</f>
        <v>143101.55457212715</v>
      </c>
      <c r="E18" s="27">
        <f>D18/$D$35*100</f>
        <v>15.770171149144256</v>
      </c>
      <c r="F18" s="27">
        <f>C18/C39*F39</f>
        <v>145169.3883007335</v>
      </c>
      <c r="G18" s="58">
        <f>2.33*G11*12</f>
        <v>129242.30399999999</v>
      </c>
    </row>
    <row r="19" spans="1:7">
      <c r="A19" s="30"/>
      <c r="B19" s="32" t="s">
        <v>24</v>
      </c>
      <c r="C19" s="28">
        <v>1.75</v>
      </c>
      <c r="D19" s="27">
        <f>C19/C39*D39</f>
        <v>97065.007946210273</v>
      </c>
      <c r="E19" s="27">
        <f>D19/$D$35*100</f>
        <v>10.696821515892422</v>
      </c>
      <c r="F19" s="27">
        <f>C19/C39*F39</f>
        <v>98467.608343520784</v>
      </c>
      <c r="G19" s="58">
        <f>1.4*G11*12</f>
        <v>77656.319999999978</v>
      </c>
    </row>
    <row r="20" spans="1:7">
      <c r="A20" s="30">
        <v>0</v>
      </c>
      <c r="B20" s="32" t="s">
        <v>23</v>
      </c>
      <c r="C20" s="28">
        <v>0.69</v>
      </c>
      <c r="D20" s="27">
        <f>C20/C39*D39</f>
        <v>38271.345990220048</v>
      </c>
      <c r="E20" s="27">
        <f>D20/$D$35*100</f>
        <v>4.21760391198044</v>
      </c>
      <c r="F20" s="27">
        <f>C20/C39*F39</f>
        <v>38824.371289731047</v>
      </c>
      <c r="G20" s="58">
        <f>0.63*G11*12</f>
        <v>34945.343999999997</v>
      </c>
    </row>
    <row r="21" spans="1:7">
      <c r="A21" s="57"/>
      <c r="B21" s="56" t="s">
        <v>22</v>
      </c>
      <c r="C21" s="55">
        <v>0.04</v>
      </c>
      <c r="D21" s="27">
        <f>C21/C39*D39</f>
        <v>2218.6287530562349</v>
      </c>
      <c r="E21" s="27">
        <f>D21/$D$35*100</f>
        <v>0.24449877750611246</v>
      </c>
      <c r="F21" s="27">
        <f>C21/C39*F39</f>
        <v>2250.6881907090465</v>
      </c>
      <c r="G21" s="54">
        <v>0</v>
      </c>
    </row>
    <row r="22" spans="1:7" ht="19.5">
      <c r="A22" s="53" t="s">
        <v>21</v>
      </c>
      <c r="B22" s="52" t="s">
        <v>20</v>
      </c>
      <c r="C22" s="51"/>
      <c r="D22" s="50"/>
      <c r="E22" s="49"/>
      <c r="F22" s="48"/>
      <c r="G22" s="47"/>
    </row>
    <row r="23" spans="1:7" ht="19.5">
      <c r="A23" s="46"/>
      <c r="B23" s="45" t="s">
        <v>19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172498.38555012224</v>
      </c>
      <c r="E24" s="36">
        <f>E25+E26</f>
        <v>19.009779951100246</v>
      </c>
      <c r="F24" s="35">
        <f>F25+F26</f>
        <v>174991.00682762836</v>
      </c>
      <c r="G24" s="34">
        <f>G25+G26</f>
        <v>74946.5</v>
      </c>
    </row>
    <row r="25" spans="1:7">
      <c r="A25" s="30"/>
      <c r="B25" s="32" t="s">
        <v>18</v>
      </c>
      <c r="C25" s="33">
        <v>2.36</v>
      </c>
      <c r="D25" s="27">
        <f>C25/C39*D39</f>
        <v>130899.09643031785</v>
      </c>
      <c r="E25" s="27">
        <f>D25/$D$35*100</f>
        <v>14.425427872860636</v>
      </c>
      <c r="F25" s="27">
        <f>C25/C39*F39</f>
        <v>132790.60325183373</v>
      </c>
      <c r="G25" s="26">
        <v>52544</v>
      </c>
    </row>
    <row r="26" spans="1:7">
      <c r="A26" s="30"/>
      <c r="B26" s="32" t="s">
        <v>17</v>
      </c>
      <c r="C26" s="28">
        <v>0.75</v>
      </c>
      <c r="D26" s="27">
        <f>C26/C39*D39</f>
        <v>41599.289119804402</v>
      </c>
      <c r="E26" s="27">
        <f>D26/$D$35*100</f>
        <v>4.5843520782396086</v>
      </c>
      <c r="F26" s="27">
        <f>C26/C39*F39</f>
        <v>42200.403575794626</v>
      </c>
      <c r="G26" s="26">
        <f>32025-G29</f>
        <v>22402.5</v>
      </c>
    </row>
    <row r="27" spans="1:7" ht="19.5">
      <c r="A27" s="23" t="s">
        <v>16</v>
      </c>
      <c r="B27" s="22" t="s">
        <v>15</v>
      </c>
      <c r="C27" s="10">
        <f>C28+C29</f>
        <v>1.6400000000000001</v>
      </c>
      <c r="D27" s="21">
        <f>D28+D29</f>
        <v>90963.778875305637</v>
      </c>
      <c r="E27" s="21">
        <f>E28+E29</f>
        <v>10.024449877750612</v>
      </c>
      <c r="F27" s="20">
        <f>F28+F29</f>
        <v>92278.215819070901</v>
      </c>
      <c r="G27" s="19">
        <f>G28+G29</f>
        <v>26582.5</v>
      </c>
    </row>
    <row r="28" spans="1:7">
      <c r="A28" s="30"/>
      <c r="B28" s="29" t="s">
        <v>14</v>
      </c>
      <c r="C28" s="28">
        <v>0.84</v>
      </c>
      <c r="D28" s="27">
        <f>C28/C39*D39</f>
        <v>46591.203814180932</v>
      </c>
      <c r="E28" s="27">
        <f>D28/$D$35*100</f>
        <v>5.1344743276283618</v>
      </c>
      <c r="F28" s="27">
        <f>C28/C39*F39</f>
        <v>47264.452004889972</v>
      </c>
      <c r="G28" s="26">
        <v>16960</v>
      </c>
    </row>
    <row r="29" spans="1:7">
      <c r="A29" s="30"/>
      <c r="B29" s="29" t="s">
        <v>13</v>
      </c>
      <c r="C29" s="28">
        <v>0.8</v>
      </c>
      <c r="D29" s="27">
        <f>C29/C39*D39</f>
        <v>44372.575061124699</v>
      </c>
      <c r="E29" s="27">
        <f>D29/$D$35*100</f>
        <v>4.8899755501222497</v>
      </c>
      <c r="F29" s="27">
        <f>C29/C39*F39</f>
        <v>45013.763814180929</v>
      </c>
      <c r="G29" s="26">
        <f>32075*0.3</f>
        <v>9622.5</v>
      </c>
    </row>
    <row r="30" spans="1:7" ht="19.5">
      <c r="A30" s="23" t="s">
        <v>12</v>
      </c>
      <c r="B30" s="22" t="s">
        <v>11</v>
      </c>
      <c r="C30" s="10">
        <v>1.21</v>
      </c>
      <c r="D30" s="25">
        <f>C30/C39*D39</f>
        <v>67113.519779951093</v>
      </c>
      <c r="E30" s="25">
        <f>D30/$D$35*100</f>
        <v>7.3960880195599019</v>
      </c>
      <c r="F30" s="25">
        <f>C30/C39*F39</f>
        <v>68083.317768948647</v>
      </c>
      <c r="G30" s="19">
        <f>1.29*G11*12</f>
        <v>71554.751999999993</v>
      </c>
    </row>
    <row r="31" spans="1:7" ht="19.5">
      <c r="A31" s="23" t="s">
        <v>10</v>
      </c>
      <c r="B31" s="22" t="s">
        <v>9</v>
      </c>
      <c r="C31" s="10">
        <f>C32+C33</f>
        <v>4.54</v>
      </c>
      <c r="D31" s="21">
        <f>SUM(D32:D33)</f>
        <v>251814.36347188265</v>
      </c>
      <c r="E31" s="21">
        <f>SUM(E32:E33)</f>
        <v>27.750611246943766</v>
      </c>
      <c r="F31" s="20">
        <f>SUM(F32:F33)</f>
        <v>255453.10964547677</v>
      </c>
      <c r="G31" s="19">
        <f>G32+G33</f>
        <v>343351.87199999997</v>
      </c>
    </row>
    <row r="32" spans="1:7" ht="19.5">
      <c r="A32" s="18"/>
      <c r="B32" s="29" t="s">
        <v>50</v>
      </c>
      <c r="C32" s="28">
        <v>1.38</v>
      </c>
      <c r="D32" s="27">
        <f>C32/C39*D39</f>
        <v>76542.691980440097</v>
      </c>
      <c r="E32" s="27">
        <f>D32/$D$35*100</f>
        <v>8.4352078239608801</v>
      </c>
      <c r="F32" s="27">
        <f>C32/C39*F39</f>
        <v>77648.742579462094</v>
      </c>
      <c r="G32" s="31">
        <f>2.26*G11*12</f>
        <v>125359.48799999998</v>
      </c>
    </row>
    <row r="33" spans="1:7">
      <c r="A33" s="30"/>
      <c r="B33" s="29" t="s">
        <v>51</v>
      </c>
      <c r="C33" s="28">
        <v>3.16</v>
      </c>
      <c r="D33" s="27">
        <f>C33/C39*D39</f>
        <v>175271.67149144254</v>
      </c>
      <c r="E33" s="27">
        <f>D33/$D$35*100</f>
        <v>19.315403422982886</v>
      </c>
      <c r="F33" s="27">
        <f>C33/C39*F39</f>
        <v>177804.36706601467</v>
      </c>
      <c r="G33" s="26">
        <f xml:space="preserve"> 3.93*G11*12</f>
        <v>217992.38399999999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44372.575061124699</v>
      </c>
      <c r="E34" s="25">
        <f>D34/$D$35*100</f>
        <v>4.8899755501222497</v>
      </c>
      <c r="F34" s="25">
        <f>C34/C39*F39</f>
        <v>45013.763814180929</v>
      </c>
      <c r="G34" s="19">
        <f xml:space="preserve"> 1.01*G11*12</f>
        <v>56023.487999999998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907419.16</v>
      </c>
      <c r="E35" s="24">
        <f>D35/$D$35*100</f>
        <v>100</v>
      </c>
      <c r="F35" s="20">
        <f>F17+F24+F27+F30+F31+F34</f>
        <v>920531.47</v>
      </c>
      <c r="G35" s="19">
        <f>G17+G24+G27+G30+G31+G34</f>
        <v>814303.08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907419.16</v>
      </c>
      <c r="E39" s="9">
        <f>E35+E37</f>
        <v>118</v>
      </c>
      <c r="F39" s="8">
        <v>920531.47</v>
      </c>
      <c r="G39" s="7">
        <f>G35+G36</f>
        <v>814303.08</v>
      </c>
    </row>
    <row r="40" spans="1:7">
      <c r="D40" s="2" t="s">
        <v>4</v>
      </c>
      <c r="F40" s="6">
        <f>F39/D39</f>
        <v>1.0144501136608135</v>
      </c>
    </row>
    <row r="41" spans="1:7">
      <c r="C41" s="2" t="s">
        <v>40</v>
      </c>
    </row>
    <row r="42" spans="1:7" ht="18.75">
      <c r="A42" s="5"/>
      <c r="B42" s="4" t="s">
        <v>48</v>
      </c>
      <c r="C42" s="3">
        <v>431725.77</v>
      </c>
      <c r="D42" s="3" t="s">
        <v>2</v>
      </c>
    </row>
    <row r="43" spans="1:7" ht="18.75">
      <c r="A43" s="5"/>
      <c r="B43" s="4" t="s">
        <v>49</v>
      </c>
      <c r="C43" s="3">
        <f>D39-F39</f>
        <v>-13112.309999999939</v>
      </c>
      <c r="D43" s="3" t="s">
        <v>2</v>
      </c>
    </row>
    <row r="44" spans="1:7" ht="18.75">
      <c r="A44" s="5"/>
      <c r="B44" s="4" t="s">
        <v>1</v>
      </c>
      <c r="C44" s="3">
        <f>C42+C43</f>
        <v>418613.46000000008</v>
      </c>
      <c r="D44" s="3" t="s">
        <v>2</v>
      </c>
    </row>
    <row r="45" spans="1:7" ht="18.75">
      <c r="A45" s="5"/>
      <c r="B45" s="4"/>
      <c r="C45" s="3"/>
      <c r="D45" s="3"/>
      <c r="E45" s="1"/>
      <c r="F45" s="1"/>
      <c r="G45" s="1"/>
    </row>
    <row r="51" spans="2:7">
      <c r="B51" s="1" t="s">
        <v>0</v>
      </c>
      <c r="E51" s="1"/>
      <c r="F51" s="1"/>
      <c r="G51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topLeftCell="A13" zoomScale="75" zoomScaleNormal="50" workbookViewId="0">
      <selection activeCell="G20" sqref="G20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7" t="s">
        <v>38</v>
      </c>
      <c r="B7" s="77"/>
      <c r="C7" s="77"/>
      <c r="D7" s="77"/>
      <c r="E7" s="77"/>
      <c r="F7" s="77"/>
      <c r="G7" s="77"/>
    </row>
    <row r="8" spans="1:7" ht="18.75">
      <c r="A8" s="77" t="s">
        <v>42</v>
      </c>
      <c r="B8" s="77"/>
      <c r="C8" s="77"/>
      <c r="D8" s="77"/>
      <c r="E8" s="77"/>
      <c r="F8" s="77"/>
      <c r="G8" s="77"/>
    </row>
    <row r="9" spans="1:7" ht="18.75">
      <c r="A9" s="77" t="s">
        <v>47</v>
      </c>
      <c r="B9" s="77"/>
      <c r="C9" s="77"/>
      <c r="D9" s="77"/>
      <c r="E9" s="77"/>
      <c r="F9" s="77"/>
      <c r="G9" s="77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2994.2</v>
      </c>
    </row>
    <row r="12" spans="1:7" ht="16.5" thickBot="1">
      <c r="A12" s="81" t="s">
        <v>36</v>
      </c>
      <c r="B12" s="83" t="s">
        <v>35</v>
      </c>
      <c r="C12" s="78" t="s">
        <v>34</v>
      </c>
      <c r="D12" s="79"/>
      <c r="E12" s="79"/>
      <c r="F12" s="80"/>
      <c r="G12" s="85" t="s">
        <v>33</v>
      </c>
    </row>
    <row r="13" spans="1:7">
      <c r="A13" s="82"/>
      <c r="B13" s="84"/>
      <c r="C13" s="69" t="s">
        <v>32</v>
      </c>
      <c r="D13" s="68" t="s">
        <v>31</v>
      </c>
      <c r="E13" s="67"/>
      <c r="F13" s="66" t="s">
        <v>30</v>
      </c>
      <c r="G13" s="86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29</v>
      </c>
      <c r="B15" s="52" t="s">
        <v>28</v>
      </c>
      <c r="C15" s="51"/>
      <c r="D15" s="50"/>
      <c r="E15" s="49"/>
      <c r="F15" s="48"/>
      <c r="G15" s="47"/>
    </row>
    <row r="16" spans="1:7" ht="19.5">
      <c r="A16" s="46"/>
      <c r="B16" s="45" t="s">
        <v>27</v>
      </c>
      <c r="C16" s="44"/>
      <c r="D16" s="43"/>
      <c r="E16" s="42"/>
      <c r="F16" s="41"/>
      <c r="G16" s="40"/>
    </row>
    <row r="17" spans="1:7" ht="19.5">
      <c r="A17" s="39"/>
      <c r="B17" s="38" t="s">
        <v>26</v>
      </c>
      <c r="C17" s="37">
        <f>C18+C19+C20+C21</f>
        <v>5.0599999999999996</v>
      </c>
      <c r="D17" s="36">
        <f>SUM(D18:D21)</f>
        <v>181808.89290953547</v>
      </c>
      <c r="E17" s="36">
        <f>SUM(E18:E21)</f>
        <v>30.929095354523231</v>
      </c>
      <c r="F17" s="35">
        <f>SUM(F18:F21)</f>
        <v>168468.45343520783</v>
      </c>
      <c r="G17" s="34">
        <f>G18+G19+G20+G21</f>
        <v>156656.54399999999</v>
      </c>
    </row>
    <row r="18" spans="1:7">
      <c r="A18" s="30"/>
      <c r="B18" s="32" t="s">
        <v>25</v>
      </c>
      <c r="C18" s="33">
        <v>2.58</v>
      </c>
      <c r="D18" s="27">
        <f>C18/C39*D39</f>
        <v>92700.977017114928</v>
      </c>
      <c r="E18" s="27">
        <f>D18/$D$35*100</f>
        <v>15.770171149144256</v>
      </c>
      <c r="F18" s="27">
        <f>C18/C39*F39</f>
        <v>85898.934755501221</v>
      </c>
      <c r="G18" s="58">
        <f>2.33*G11*12</f>
        <v>83717.831999999995</v>
      </c>
    </row>
    <row r="19" spans="1:7">
      <c r="A19" s="30"/>
      <c r="B19" s="32" t="s">
        <v>24</v>
      </c>
      <c r="C19" s="28">
        <v>1.75</v>
      </c>
      <c r="D19" s="27">
        <f>C19/C39*D39</f>
        <v>62878.569682151596</v>
      </c>
      <c r="E19" s="27">
        <f>D19/$D$35*100</f>
        <v>10.696821515892422</v>
      </c>
      <c r="F19" s="27">
        <f>C19/C39*F39</f>
        <v>58264.781326405871</v>
      </c>
      <c r="G19" s="58">
        <f>1.4*G11*12</f>
        <v>50302.55999999999</v>
      </c>
    </row>
    <row r="20" spans="1:7">
      <c r="A20" s="30">
        <v>0</v>
      </c>
      <c r="B20" s="32" t="s">
        <v>23</v>
      </c>
      <c r="C20" s="28">
        <v>0.69</v>
      </c>
      <c r="D20" s="27">
        <f>C20/C39*D39</f>
        <v>24792.121760391201</v>
      </c>
      <c r="E20" s="27">
        <f>D20/$D$35*100</f>
        <v>4.21760391198044</v>
      </c>
      <c r="F20" s="27">
        <f>C20/C39*F39</f>
        <v>22972.970922982884</v>
      </c>
      <c r="G20" s="58">
        <f>0.63*G11*12</f>
        <v>22636.152000000002</v>
      </c>
    </row>
    <row r="21" spans="1:7">
      <c r="A21" s="57"/>
      <c r="B21" s="56" t="s">
        <v>22</v>
      </c>
      <c r="C21" s="55">
        <v>0.04</v>
      </c>
      <c r="D21" s="27">
        <f>C21/C39*D39</f>
        <v>1437.2244498777507</v>
      </c>
      <c r="E21" s="27">
        <f>D21/$D$35*100</f>
        <v>0.24449877750611246</v>
      </c>
      <c r="F21" s="27">
        <f>C21/C39*F39</f>
        <v>1331.7664303178483</v>
      </c>
      <c r="G21" s="54">
        <v>0</v>
      </c>
    </row>
    <row r="22" spans="1:7" ht="19.5">
      <c r="A22" s="53" t="s">
        <v>21</v>
      </c>
      <c r="B22" s="52" t="s">
        <v>20</v>
      </c>
      <c r="C22" s="51"/>
      <c r="D22" s="50"/>
      <c r="E22" s="49"/>
      <c r="F22" s="48"/>
      <c r="G22" s="47"/>
    </row>
    <row r="23" spans="1:7" ht="19.5">
      <c r="A23" s="46"/>
      <c r="B23" s="45" t="s">
        <v>19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111744.20097799512</v>
      </c>
      <c r="E24" s="36">
        <f>E25+E26</f>
        <v>19.009779951100246</v>
      </c>
      <c r="F24" s="35">
        <f>F25+F26</f>
        <v>103544.83995721271</v>
      </c>
      <c r="G24" s="34">
        <f>G25+G26</f>
        <v>40872.1</v>
      </c>
    </row>
    <row r="25" spans="1:7">
      <c r="A25" s="30"/>
      <c r="B25" s="32" t="s">
        <v>18</v>
      </c>
      <c r="C25" s="33">
        <v>2.36</v>
      </c>
      <c r="D25" s="27">
        <f>C25/C39*D39</f>
        <v>84796.242542787295</v>
      </c>
      <c r="E25" s="27">
        <f>D25/$D$35*100</f>
        <v>14.425427872860636</v>
      </c>
      <c r="F25" s="27">
        <f>C25/C39*F39</f>
        <v>78574.219388753045</v>
      </c>
      <c r="G25" s="26">
        <v>32848</v>
      </c>
    </row>
    <row r="26" spans="1:7">
      <c r="A26" s="30"/>
      <c r="B26" s="32" t="s">
        <v>17</v>
      </c>
      <c r="C26" s="28">
        <v>0.75</v>
      </c>
      <c r="D26" s="27">
        <f>C26/C39*D39</f>
        <v>26947.958435207827</v>
      </c>
      <c r="E26" s="27">
        <f>D26/$D$35*100</f>
        <v>4.5843520782396094</v>
      </c>
      <c r="F26" s="27">
        <f>C26/C39*F39</f>
        <v>24970.620568459657</v>
      </c>
      <c r="G26" s="26">
        <f>11463-11463*0.3</f>
        <v>8024.1</v>
      </c>
    </row>
    <row r="27" spans="1:7" ht="19.5">
      <c r="A27" s="23" t="s">
        <v>16</v>
      </c>
      <c r="B27" s="22" t="s">
        <v>15</v>
      </c>
      <c r="C27" s="10">
        <f>C28+C29</f>
        <v>1.6400000000000001</v>
      </c>
      <c r="D27" s="21">
        <f>D28+D29</f>
        <v>58926.202444987779</v>
      </c>
      <c r="E27" s="21">
        <f>E28+E29</f>
        <v>10.024449877750612</v>
      </c>
      <c r="F27" s="20">
        <f>F28+F29</f>
        <v>54602.423643031783</v>
      </c>
      <c r="G27" s="19">
        <f>G28+G29</f>
        <v>5613.9</v>
      </c>
    </row>
    <row r="28" spans="1:7">
      <c r="A28" s="30"/>
      <c r="B28" s="29" t="s">
        <v>14</v>
      </c>
      <c r="C28" s="28">
        <v>0.84</v>
      </c>
      <c r="D28" s="27">
        <f>C28/C39*D39</f>
        <v>30181.713447432765</v>
      </c>
      <c r="E28" s="27">
        <f>D28/$D$35*100</f>
        <v>5.1344743276283618</v>
      </c>
      <c r="F28" s="27">
        <f>C28/C39*F39</f>
        <v>27967.095036674815</v>
      </c>
      <c r="G28" s="26">
        <v>2175</v>
      </c>
    </row>
    <row r="29" spans="1:7">
      <c r="A29" s="30"/>
      <c r="B29" s="29" t="s">
        <v>13</v>
      </c>
      <c r="C29" s="28">
        <v>0.8</v>
      </c>
      <c r="D29" s="27">
        <f>C29/C39*D39</f>
        <v>28744.488997555018</v>
      </c>
      <c r="E29" s="27">
        <f>D29/$D$35*100</f>
        <v>4.8899755501222497</v>
      </c>
      <c r="F29" s="27">
        <f>C29/C39*F39</f>
        <v>26635.328606356969</v>
      </c>
      <c r="G29" s="26">
        <f>11463*0.3</f>
        <v>3438.9</v>
      </c>
    </row>
    <row r="30" spans="1:7" ht="19.5">
      <c r="A30" s="23" t="s">
        <v>12</v>
      </c>
      <c r="B30" s="22" t="s">
        <v>11</v>
      </c>
      <c r="C30" s="10">
        <v>1.21</v>
      </c>
      <c r="D30" s="25">
        <f>C30/C39*D39</f>
        <v>43476.039608801955</v>
      </c>
      <c r="E30" s="25">
        <f>D30/$D$35*100</f>
        <v>7.3960880195599019</v>
      </c>
      <c r="F30" s="25">
        <f>C30/C39*F39</f>
        <v>40285.934517114911</v>
      </c>
      <c r="G30" s="19">
        <f>1.29*G11*12</f>
        <v>46350.216</v>
      </c>
    </row>
    <row r="31" spans="1:7" ht="19.5">
      <c r="A31" s="23" t="s">
        <v>10</v>
      </c>
      <c r="B31" s="22" t="s">
        <v>9</v>
      </c>
      <c r="C31" s="10">
        <f>C32+C33</f>
        <v>4.54</v>
      </c>
      <c r="D31" s="21">
        <f>SUM(D32:D33)</f>
        <v>163124.97506112471</v>
      </c>
      <c r="E31" s="21">
        <f>SUM(E32:E33)</f>
        <v>27.750611246943766</v>
      </c>
      <c r="F31" s="20">
        <f>SUM(F32:F33)</f>
        <v>151155.48984107579</v>
      </c>
      <c r="G31" s="19">
        <f>G32+G33</f>
        <v>222409.17599999998</v>
      </c>
    </row>
    <row r="32" spans="1:7" ht="19.5">
      <c r="A32" s="18"/>
      <c r="B32" s="29" t="s">
        <v>50</v>
      </c>
      <c r="C32" s="28">
        <v>1.38</v>
      </c>
      <c r="D32" s="27">
        <f>C32/C39*D39</f>
        <v>49584.243520782402</v>
      </c>
      <c r="E32" s="27">
        <f>D32/$D$35*100</f>
        <v>8.4352078239608801</v>
      </c>
      <c r="F32" s="27">
        <f>C32/C39*F39</f>
        <v>45945.941845965768</v>
      </c>
      <c r="G32" s="31">
        <f>2.26*G11*12</f>
        <v>81202.703999999983</v>
      </c>
    </row>
    <row r="33" spans="1:7">
      <c r="A33" s="30"/>
      <c r="B33" s="29" t="s">
        <v>51</v>
      </c>
      <c r="C33" s="28">
        <v>3.16</v>
      </c>
      <c r="D33" s="27">
        <f>C33/C39*D39</f>
        <v>113540.73154034231</v>
      </c>
      <c r="E33" s="27">
        <f>D33/$D$35*100</f>
        <v>19.315403422982886</v>
      </c>
      <c r="F33" s="27">
        <f>C33/C39*F39</f>
        <v>105209.54799511001</v>
      </c>
      <c r="G33" s="26">
        <f xml:space="preserve"> 3.93*G11*12</f>
        <v>141206.47200000001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28744.488997555018</v>
      </c>
      <c r="E34" s="25">
        <f>D34/$D$35*100</f>
        <v>4.8899755501222497</v>
      </c>
      <c r="F34" s="25">
        <f>C34/C39*F39</f>
        <v>26635.328606356969</v>
      </c>
      <c r="G34" s="19">
        <f xml:space="preserve"> 1.01*G11*12</f>
        <v>36289.703999999998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587824.80000000005</v>
      </c>
      <c r="E35" s="24">
        <f>D35/$D$35*100</f>
        <v>100</v>
      </c>
      <c r="F35" s="20">
        <f>F17+F24+F27+F30+F31+F34</f>
        <v>544692.47</v>
      </c>
      <c r="G35" s="19">
        <f>G17+G24+G27+G30+G31+G34</f>
        <v>508191.64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587824.80000000005</v>
      </c>
      <c r="E39" s="9">
        <f>E35+E37</f>
        <v>118</v>
      </c>
      <c r="F39" s="8">
        <v>544692.47</v>
      </c>
      <c r="G39" s="7">
        <f>G35+G36</f>
        <v>508191.64</v>
      </c>
    </row>
    <row r="40" spans="1:7">
      <c r="D40" s="2" t="s">
        <v>4</v>
      </c>
      <c r="F40" s="6">
        <f>F39/D39</f>
        <v>0.92662383417644156</v>
      </c>
    </row>
    <row r="42" spans="1:7" ht="18.75">
      <c r="A42" s="5"/>
      <c r="B42" s="4" t="s">
        <v>48</v>
      </c>
      <c r="C42" s="3">
        <v>351847</v>
      </c>
      <c r="D42" s="3" t="s">
        <v>2</v>
      </c>
    </row>
    <row r="43" spans="1:7" ht="18.75">
      <c r="A43" s="5"/>
      <c r="B43" s="4" t="s">
        <v>49</v>
      </c>
      <c r="C43" s="3">
        <f>D39-F39</f>
        <v>43132.330000000075</v>
      </c>
      <c r="D43" s="3" t="s">
        <v>2</v>
      </c>
    </row>
    <row r="44" spans="1:7" ht="18.75">
      <c r="A44" s="5"/>
      <c r="B44" s="4" t="s">
        <v>1</v>
      </c>
      <c r="C44" s="3">
        <f>C42+C43</f>
        <v>394979.33000000007</v>
      </c>
      <c r="D44" s="3" t="s">
        <v>2</v>
      </c>
    </row>
    <row r="45" spans="1:7" ht="18.75">
      <c r="A45" s="5"/>
      <c r="B45" s="4"/>
      <c r="C45" s="3"/>
      <c r="D45" s="3"/>
      <c r="E45" s="1"/>
      <c r="F45" s="1"/>
      <c r="G45" s="1"/>
    </row>
    <row r="51" spans="2:7">
      <c r="B51" s="1" t="s">
        <v>0</v>
      </c>
      <c r="E51" s="1"/>
      <c r="F51" s="1"/>
      <c r="G51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1"/>
  <sheetViews>
    <sheetView topLeftCell="A16" zoomScale="75" zoomScaleNormal="50" workbookViewId="0">
      <selection activeCell="I44" sqref="I44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7" t="s">
        <v>44</v>
      </c>
      <c r="B7" s="77"/>
      <c r="C7" s="77"/>
      <c r="D7" s="77"/>
      <c r="E7" s="77"/>
      <c r="F7" s="77"/>
      <c r="G7" s="77"/>
    </row>
    <row r="8" spans="1:7" ht="18.75">
      <c r="A8" s="77" t="s">
        <v>43</v>
      </c>
      <c r="B8" s="77"/>
      <c r="C8" s="77"/>
      <c r="D8" s="77"/>
      <c r="E8" s="77"/>
      <c r="F8" s="77"/>
      <c r="G8" s="77"/>
    </row>
    <row r="9" spans="1:7" ht="18.75">
      <c r="A9" s="77" t="s">
        <v>47</v>
      </c>
      <c r="B9" s="77"/>
      <c r="C9" s="77"/>
      <c r="D9" s="77"/>
      <c r="E9" s="77"/>
      <c r="F9" s="77"/>
      <c r="G9" s="77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3009.3</v>
      </c>
    </row>
    <row r="12" spans="1:7" ht="16.5" thickBot="1">
      <c r="A12" s="81" t="s">
        <v>36</v>
      </c>
      <c r="B12" s="83" t="s">
        <v>35</v>
      </c>
      <c r="C12" s="78" t="s">
        <v>34</v>
      </c>
      <c r="D12" s="79"/>
      <c r="E12" s="79"/>
      <c r="F12" s="80"/>
      <c r="G12" s="85" t="s">
        <v>33</v>
      </c>
    </row>
    <row r="13" spans="1:7">
      <c r="A13" s="82"/>
      <c r="B13" s="84"/>
      <c r="C13" s="69" t="s">
        <v>32</v>
      </c>
      <c r="D13" s="68" t="s">
        <v>31</v>
      </c>
      <c r="E13" s="67"/>
      <c r="F13" s="66" t="s">
        <v>30</v>
      </c>
      <c r="G13" s="86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29</v>
      </c>
      <c r="B15" s="52" t="s">
        <v>28</v>
      </c>
      <c r="C15" s="51"/>
      <c r="D15" s="50"/>
      <c r="E15" s="49"/>
      <c r="F15" s="48"/>
      <c r="G15" s="47"/>
    </row>
    <row r="16" spans="1:7" ht="19.5">
      <c r="A16" s="46"/>
      <c r="B16" s="45" t="s">
        <v>27</v>
      </c>
      <c r="C16" s="44"/>
      <c r="D16" s="43"/>
      <c r="E16" s="42"/>
      <c r="F16" s="41"/>
      <c r="G16" s="40"/>
    </row>
    <row r="17" spans="1:7" ht="19.5">
      <c r="A17" s="39"/>
      <c r="B17" s="38" t="s">
        <v>26</v>
      </c>
      <c r="C17" s="37">
        <f>C18+C19+C20+C21</f>
        <v>5.0599999999999996</v>
      </c>
      <c r="D17" s="36">
        <f>SUM(D18:D21)</f>
        <v>182724.62919315405</v>
      </c>
      <c r="E17" s="36">
        <f>SUM(E18:E21)</f>
        <v>30.929095354523234</v>
      </c>
      <c r="F17" s="35">
        <f>SUM(F18:F21)</f>
        <v>181952.5987652812</v>
      </c>
      <c r="G17" s="34">
        <f>G18+G19+G20+G21</f>
        <v>157446.576</v>
      </c>
    </row>
    <row r="18" spans="1:7">
      <c r="A18" s="30"/>
      <c r="B18" s="32" t="s">
        <v>25</v>
      </c>
      <c r="C18" s="33">
        <v>2.58</v>
      </c>
      <c r="D18" s="27">
        <f>C18/C39*D39</f>
        <v>93167.893936430322</v>
      </c>
      <c r="E18" s="27">
        <f>D18/$D$35*100</f>
        <v>15.770171149144257</v>
      </c>
      <c r="F18" s="27">
        <f>C18/C39*F39</f>
        <v>92774.249963325201</v>
      </c>
      <c r="G18" s="58">
        <f>2.33*G11*12</f>
        <v>84140.028000000006</v>
      </c>
    </row>
    <row r="19" spans="1:7">
      <c r="A19" s="30"/>
      <c r="B19" s="32" t="s">
        <v>24</v>
      </c>
      <c r="C19" s="28">
        <v>1.75</v>
      </c>
      <c r="D19" s="27">
        <f>C19/C39*D39</f>
        <v>63195.276894865536</v>
      </c>
      <c r="E19" s="27">
        <f>D19/$D$35*100</f>
        <v>10.696821515892424</v>
      </c>
      <c r="F19" s="27">
        <f>C19/C39*F39</f>
        <v>62928.270323960889</v>
      </c>
      <c r="G19" s="58">
        <f>1.4*G11*12</f>
        <v>50556.240000000005</v>
      </c>
    </row>
    <row r="20" spans="1:7">
      <c r="A20" s="30">
        <v>0</v>
      </c>
      <c r="B20" s="32" t="s">
        <v>23</v>
      </c>
      <c r="C20" s="28">
        <v>0.69</v>
      </c>
      <c r="D20" s="27">
        <f>C20/C39*D39</f>
        <v>24916.994889975551</v>
      </c>
      <c r="E20" s="27">
        <f>D20/$D$35*100</f>
        <v>4.2176039119804409</v>
      </c>
      <c r="F20" s="27">
        <f>C20/C39*F39</f>
        <v>24811.718013447437</v>
      </c>
      <c r="G20" s="58">
        <f>0.63*G11*12</f>
        <v>22750.308000000001</v>
      </c>
    </row>
    <row r="21" spans="1:7">
      <c r="A21" s="57"/>
      <c r="B21" s="56" t="s">
        <v>22</v>
      </c>
      <c r="C21" s="55">
        <v>0.04</v>
      </c>
      <c r="D21" s="27">
        <f>C21/C39*D39</f>
        <v>1444.4634718826408</v>
      </c>
      <c r="E21" s="27">
        <f>D21/$D$35*100</f>
        <v>0.24449877750611251</v>
      </c>
      <c r="F21" s="27">
        <f>C21/C39*F39</f>
        <v>1438.3604645476773</v>
      </c>
      <c r="G21" s="54">
        <v>0</v>
      </c>
    </row>
    <row r="22" spans="1:7" ht="19.5">
      <c r="A22" s="53" t="s">
        <v>21</v>
      </c>
      <c r="B22" s="52" t="s">
        <v>20</v>
      </c>
      <c r="C22" s="51"/>
      <c r="D22" s="50"/>
      <c r="E22" s="49"/>
      <c r="F22" s="48"/>
      <c r="G22" s="47"/>
    </row>
    <row r="23" spans="1:7" ht="19.5">
      <c r="A23" s="46"/>
      <c r="B23" s="45" t="s">
        <v>19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112307.03493887531</v>
      </c>
      <c r="E24" s="36">
        <f>E25+E26</f>
        <v>19.009779951100249</v>
      </c>
      <c r="F24" s="35">
        <f>F25+F26</f>
        <v>111832.52611858193</v>
      </c>
      <c r="G24" s="34">
        <f>G25+G26</f>
        <v>59544.1</v>
      </c>
    </row>
    <row r="25" spans="1:7">
      <c r="A25" s="30"/>
      <c r="B25" s="32" t="s">
        <v>18</v>
      </c>
      <c r="C25" s="33">
        <v>2.36</v>
      </c>
      <c r="D25" s="27">
        <f>C25/C39*D39</f>
        <v>85223.344841075799</v>
      </c>
      <c r="E25" s="27">
        <f>D25/$D$35*100</f>
        <v>14.425427872860638</v>
      </c>
      <c r="F25" s="27">
        <f>C25/C39*F39</f>
        <v>84863.267408312968</v>
      </c>
      <c r="G25" s="26">
        <f>64135-64135*0.3</f>
        <v>44894.5</v>
      </c>
    </row>
    <row r="26" spans="1:7">
      <c r="A26" s="30"/>
      <c r="B26" s="32" t="s">
        <v>17</v>
      </c>
      <c r="C26" s="28">
        <v>0.75</v>
      </c>
      <c r="D26" s="27">
        <f>C26/C39*D39</f>
        <v>27083.690097799514</v>
      </c>
      <c r="E26" s="27">
        <f>D26/$D$35*100</f>
        <v>4.5843520782396094</v>
      </c>
      <c r="F26" s="27">
        <f>C26/C39*F39</f>
        <v>26969.258710268954</v>
      </c>
      <c r="G26" s="26">
        <f>20928-20928*0.3</f>
        <v>14649.6</v>
      </c>
    </row>
    <row r="27" spans="1:7" ht="19.5">
      <c r="A27" s="23" t="s">
        <v>16</v>
      </c>
      <c r="B27" s="22" t="s">
        <v>15</v>
      </c>
      <c r="C27" s="10">
        <f>C28+C29</f>
        <v>1.6400000000000001</v>
      </c>
      <c r="D27" s="21">
        <f>D28+D29</f>
        <v>59223.002347188274</v>
      </c>
      <c r="E27" s="21">
        <f>E28+E29</f>
        <v>10.024449877750612</v>
      </c>
      <c r="F27" s="20">
        <f>F28+F29</f>
        <v>58972.779046454772</v>
      </c>
      <c r="G27" s="19">
        <f>G28+G29</f>
        <v>32539.9</v>
      </c>
    </row>
    <row r="28" spans="1:7">
      <c r="A28" s="30"/>
      <c r="B28" s="29" t="s">
        <v>14</v>
      </c>
      <c r="C28" s="28">
        <v>0.84</v>
      </c>
      <c r="D28" s="27">
        <f>C28/C39*D39</f>
        <v>30333.732909535454</v>
      </c>
      <c r="E28" s="27">
        <f>D28/$D$35*100</f>
        <v>5.1344743276283626</v>
      </c>
      <c r="F28" s="27">
        <f>C28/C39*F39</f>
        <v>30205.569755501227</v>
      </c>
      <c r="G28" s="26">
        <f>64135*0.3+997</f>
        <v>20237.5</v>
      </c>
    </row>
    <row r="29" spans="1:7">
      <c r="A29" s="30"/>
      <c r="B29" s="29" t="s">
        <v>13</v>
      </c>
      <c r="C29" s="28">
        <v>0.8</v>
      </c>
      <c r="D29" s="27">
        <f>C29/C39*D39</f>
        <v>28889.269437652816</v>
      </c>
      <c r="E29" s="27">
        <f>D29/$D$35*100</f>
        <v>4.8899755501222506</v>
      </c>
      <c r="F29" s="27">
        <f>C29/C39*F39</f>
        <v>28767.209290953549</v>
      </c>
      <c r="G29" s="26">
        <f>20928*0.3+6024</f>
        <v>12302.4</v>
      </c>
    </row>
    <row r="30" spans="1:7" ht="19.5">
      <c r="A30" s="23" t="s">
        <v>12</v>
      </c>
      <c r="B30" s="22" t="s">
        <v>11</v>
      </c>
      <c r="C30" s="10">
        <v>1.21</v>
      </c>
      <c r="D30" s="76">
        <f>C30/C39*D39</f>
        <v>43695.020024449877</v>
      </c>
      <c r="E30" s="24">
        <f>D30/$D$35*100</f>
        <v>7.3960880195599028</v>
      </c>
      <c r="F30" s="76">
        <f>C30/C39*F39</f>
        <v>43510.404052567239</v>
      </c>
      <c r="G30" s="19">
        <f>1.29*G11*12</f>
        <v>46583.964000000007</v>
      </c>
    </row>
    <row r="31" spans="1:7" ht="19.5">
      <c r="A31" s="23" t="s">
        <v>10</v>
      </c>
      <c r="B31" s="22" t="s">
        <v>9</v>
      </c>
      <c r="C31" s="10">
        <f>C32+C33</f>
        <v>4.54</v>
      </c>
      <c r="D31" s="21">
        <f>SUM(D32:D33)</f>
        <v>163946.60405867972</v>
      </c>
      <c r="E31" s="21">
        <f>SUM(E32:E33)</f>
        <v>27.75061124694377</v>
      </c>
      <c r="F31" s="20">
        <f>SUM(F32:F33)</f>
        <v>163253.91272616139</v>
      </c>
      <c r="G31" s="19">
        <f>G32+G33</f>
        <v>223530.804</v>
      </c>
    </row>
    <row r="32" spans="1:7" ht="19.5">
      <c r="A32" s="18"/>
      <c r="B32" s="29" t="s">
        <v>50</v>
      </c>
      <c r="C32" s="28">
        <v>1.38</v>
      </c>
      <c r="D32" s="27">
        <f>C32/C39*D39</f>
        <v>49833.989779951102</v>
      </c>
      <c r="E32" s="27">
        <f>D32/$D$35*100</f>
        <v>8.4352078239608819</v>
      </c>
      <c r="F32" s="27">
        <f>C32/C39*F39</f>
        <v>49623.436026894873</v>
      </c>
      <c r="G32" s="31">
        <f>2.26*G11*12</f>
        <v>81612.216</v>
      </c>
    </row>
    <row r="33" spans="1:7">
      <c r="A33" s="30"/>
      <c r="B33" s="29" t="s">
        <v>51</v>
      </c>
      <c r="C33" s="28">
        <v>3.16</v>
      </c>
      <c r="D33" s="27">
        <f>C33/C39*D39</f>
        <v>114112.61427872862</v>
      </c>
      <c r="E33" s="27">
        <f>D33/$D$35*100</f>
        <v>19.315403422982889</v>
      </c>
      <c r="F33" s="27">
        <f>C33/C39*F39</f>
        <v>113630.47669926651</v>
      </c>
      <c r="G33" s="26">
        <f xml:space="preserve"> 3.93*G11*12</f>
        <v>141918.58800000002</v>
      </c>
    </row>
    <row r="34" spans="1:7" ht="19.5">
      <c r="A34" s="23" t="s">
        <v>8</v>
      </c>
      <c r="B34" s="22" t="s">
        <v>7</v>
      </c>
      <c r="C34" s="10">
        <v>0.8</v>
      </c>
      <c r="D34" s="76">
        <f>C34/C39*D39</f>
        <v>28889.269437652816</v>
      </c>
      <c r="E34" s="24">
        <f>D34/$D$35*100</f>
        <v>4.8899755501222506</v>
      </c>
      <c r="F34" s="76">
        <f>C34/C39*F39</f>
        <v>28767.209290953549</v>
      </c>
      <c r="G34" s="19">
        <f xml:space="preserve"> 1.01*G11*12</f>
        <v>36472.716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590785.55999999994</v>
      </c>
      <c r="E35" s="24">
        <f>D35/$D$35*100</f>
        <v>100</v>
      </c>
      <c r="F35" s="20">
        <f>F17+F24+F27+F30+F31+F34</f>
        <v>588289.43000000017</v>
      </c>
      <c r="G35" s="19">
        <f>G17+G24+G27+G30+G31+G34</f>
        <v>556118.06000000006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590785.56000000006</v>
      </c>
      <c r="E39" s="9">
        <f>E35+E37</f>
        <v>118</v>
      </c>
      <c r="F39" s="8">
        <v>588289.43000000005</v>
      </c>
      <c r="G39" s="7">
        <f>G35+G36</f>
        <v>556118.06000000006</v>
      </c>
    </row>
    <row r="40" spans="1:7">
      <c r="D40" s="2" t="s">
        <v>4</v>
      </c>
      <c r="F40" s="6">
        <f>F39/D39</f>
        <v>0.99577489673241171</v>
      </c>
    </row>
    <row r="42" spans="1:7" ht="18.75">
      <c r="A42" s="5"/>
      <c r="B42" s="4" t="s">
        <v>48</v>
      </c>
      <c r="C42" s="3">
        <v>85502.73</v>
      </c>
      <c r="D42" s="3" t="s">
        <v>2</v>
      </c>
    </row>
    <row r="43" spans="1:7" ht="18.75">
      <c r="A43" s="5"/>
      <c r="B43" s="4" t="s">
        <v>49</v>
      </c>
      <c r="C43" s="3">
        <f>D39-F39</f>
        <v>2496.1300000000047</v>
      </c>
      <c r="D43" s="3" t="s">
        <v>2</v>
      </c>
    </row>
    <row r="44" spans="1:7" ht="18.75">
      <c r="A44" s="5"/>
      <c r="B44" s="4" t="s">
        <v>1</v>
      </c>
      <c r="C44" s="3">
        <f>C42+C43</f>
        <v>87998.86</v>
      </c>
      <c r="D44" s="3" t="s">
        <v>2</v>
      </c>
    </row>
    <row r="45" spans="1:7" ht="18.75">
      <c r="A45" s="5"/>
      <c r="B45" s="4"/>
      <c r="C45" s="3"/>
      <c r="D45" s="3"/>
      <c r="E45" s="1"/>
      <c r="F45" s="1"/>
      <c r="G45" s="1"/>
    </row>
    <row r="51" spans="2:7">
      <c r="B51" s="1" t="s">
        <v>0</v>
      </c>
      <c r="E51" s="1"/>
      <c r="F51" s="1"/>
      <c r="G51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10" zoomScale="75" zoomScaleNormal="50" workbookViewId="0">
      <selection activeCell="L38" sqref="L38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7" t="s">
        <v>46</v>
      </c>
      <c r="B7" s="77"/>
      <c r="C7" s="77"/>
      <c r="D7" s="77"/>
      <c r="E7" s="77"/>
      <c r="F7" s="77"/>
      <c r="G7" s="77"/>
    </row>
    <row r="8" spans="1:7" ht="18.75">
      <c r="A8" s="77" t="s">
        <v>45</v>
      </c>
      <c r="B8" s="77"/>
      <c r="C8" s="77"/>
      <c r="D8" s="77"/>
      <c r="E8" s="77"/>
      <c r="F8" s="77"/>
      <c r="G8" s="77"/>
    </row>
    <row r="9" spans="1:7" ht="18.75">
      <c r="A9" s="77" t="s">
        <v>47</v>
      </c>
      <c r="B9" s="77"/>
      <c r="C9" s="77"/>
      <c r="D9" s="77"/>
      <c r="E9" s="77"/>
      <c r="F9" s="77"/>
      <c r="G9" s="77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4689.8</v>
      </c>
    </row>
    <row r="12" spans="1:7" ht="16.5" thickBot="1">
      <c r="A12" s="81" t="s">
        <v>36</v>
      </c>
      <c r="B12" s="83" t="s">
        <v>35</v>
      </c>
      <c r="C12" s="78" t="s">
        <v>34</v>
      </c>
      <c r="D12" s="79"/>
      <c r="E12" s="79"/>
      <c r="F12" s="80"/>
      <c r="G12" s="85" t="s">
        <v>33</v>
      </c>
    </row>
    <row r="13" spans="1:7">
      <c r="A13" s="82"/>
      <c r="B13" s="84"/>
      <c r="C13" s="69" t="s">
        <v>32</v>
      </c>
      <c r="D13" s="68" t="s">
        <v>31</v>
      </c>
      <c r="E13" s="67"/>
      <c r="F13" s="66" t="s">
        <v>30</v>
      </c>
      <c r="G13" s="86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29</v>
      </c>
      <c r="B15" s="52" t="s">
        <v>28</v>
      </c>
      <c r="C15" s="51"/>
      <c r="D15" s="50"/>
      <c r="E15" s="49"/>
      <c r="F15" s="48"/>
      <c r="G15" s="47"/>
    </row>
    <row r="16" spans="1:7" ht="19.5">
      <c r="A16" s="46"/>
      <c r="B16" s="45" t="s">
        <v>27</v>
      </c>
      <c r="C16" s="44"/>
      <c r="D16" s="43"/>
      <c r="E16" s="42"/>
      <c r="F16" s="41"/>
      <c r="G16" s="40"/>
    </row>
    <row r="17" spans="1:7" ht="19.5">
      <c r="A17" s="39"/>
      <c r="B17" s="38" t="s">
        <v>26</v>
      </c>
      <c r="C17" s="37">
        <f>C18+C19+C20+C21</f>
        <v>5.0599999999999996</v>
      </c>
      <c r="D17" s="36">
        <f>SUM(D18:D21)</f>
        <v>317353.53498637606</v>
      </c>
      <c r="E17" s="36">
        <f>SUM(E18:E21)</f>
        <v>34.468664850136243</v>
      </c>
      <c r="F17" s="35">
        <f>SUM(F18:F21)</f>
        <v>319101.01701634878</v>
      </c>
      <c r="G17" s="34">
        <f>G18+G19+G20+G21</f>
        <v>245370.33600000004</v>
      </c>
    </row>
    <row r="18" spans="1:7">
      <c r="A18" s="30"/>
      <c r="B18" s="32" t="s">
        <v>25</v>
      </c>
      <c r="C18" s="33">
        <v>2.58</v>
      </c>
      <c r="D18" s="27">
        <f>C18/C39*D39</f>
        <v>161812.67198910084</v>
      </c>
      <c r="E18" s="27">
        <f>D18/$D$35*100</f>
        <v>17.574931880108991</v>
      </c>
      <c r="F18" s="27">
        <f>C18/C39*F39</f>
        <v>162703.68061307902</v>
      </c>
      <c r="G18" s="58">
        <f>2.33*G11*12</f>
        <v>131126.80800000002</v>
      </c>
    </row>
    <row r="19" spans="1:7">
      <c r="A19" s="30"/>
      <c r="B19" s="32" t="s">
        <v>24</v>
      </c>
      <c r="C19" s="28">
        <v>1.75</v>
      </c>
      <c r="D19" s="27">
        <f>C19/C39*D39</f>
        <v>109756.65735694823</v>
      </c>
      <c r="E19" s="27">
        <f>D19/$D$35*100</f>
        <v>11.920980926430515</v>
      </c>
      <c r="F19" s="27">
        <f>C19/C39*F39</f>
        <v>110361.02367166211</v>
      </c>
      <c r="G19" s="58">
        <f>1.4*G11*12</f>
        <v>78788.639999999999</v>
      </c>
    </row>
    <row r="20" spans="1:7">
      <c r="A20" s="30">
        <v>0</v>
      </c>
      <c r="B20" s="32" t="s">
        <v>23</v>
      </c>
      <c r="C20" s="28">
        <v>0.69</v>
      </c>
      <c r="D20" s="27">
        <f>C20/C39*D39</f>
        <v>43275.482043596734</v>
      </c>
      <c r="E20" s="27">
        <f>D20/$D$35*100</f>
        <v>4.700272479564032</v>
      </c>
      <c r="F20" s="27">
        <f>C20/C39*F39</f>
        <v>43513.775047683921</v>
      </c>
      <c r="G20" s="58">
        <f>0.63*G11*12</f>
        <v>35454.887999999999</v>
      </c>
    </row>
    <row r="21" spans="1:7">
      <c r="A21" s="57"/>
      <c r="B21" s="56" t="s">
        <v>22</v>
      </c>
      <c r="C21" s="55">
        <v>0.04</v>
      </c>
      <c r="D21" s="27">
        <f>C21/C39*D39</f>
        <v>2508.7235967302454</v>
      </c>
      <c r="E21" s="27">
        <f>D21/$D$35*100</f>
        <v>0.27247956403269752</v>
      </c>
      <c r="F21" s="27">
        <f>C21/C39*F39</f>
        <v>2522.5376839237056</v>
      </c>
      <c r="G21" s="54"/>
    </row>
    <row r="22" spans="1:7" ht="19.5">
      <c r="A22" s="53" t="s">
        <v>21</v>
      </c>
      <c r="B22" s="52" t="s">
        <v>20</v>
      </c>
      <c r="C22" s="51"/>
      <c r="D22" s="50"/>
      <c r="E22" s="49"/>
      <c r="F22" s="48"/>
      <c r="G22" s="47"/>
    </row>
    <row r="23" spans="1:7" ht="19.5">
      <c r="A23" s="46"/>
      <c r="B23" s="45" t="s">
        <v>19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195053.25964577659</v>
      </c>
      <c r="E24" s="36">
        <f>E25+E26</f>
        <v>21.185286103542232</v>
      </c>
      <c r="F24" s="35">
        <f>F25+F26</f>
        <v>196127.30492506811</v>
      </c>
      <c r="G24" s="34">
        <f>G25+G26</f>
        <v>63396.5</v>
      </c>
    </row>
    <row r="25" spans="1:7">
      <c r="A25" s="30"/>
      <c r="B25" s="32" t="s">
        <v>18</v>
      </c>
      <c r="C25" s="33">
        <v>2.36</v>
      </c>
      <c r="D25" s="27">
        <f>C25/C39*D39</f>
        <v>148014.69220708447</v>
      </c>
      <c r="E25" s="27">
        <f>D25/$D$35*100</f>
        <v>16.076294277929154</v>
      </c>
      <c r="F25" s="27">
        <f>C25/C39*F39</f>
        <v>148829.72335149863</v>
      </c>
      <c r="G25" s="26">
        <v>55651</v>
      </c>
    </row>
    <row r="26" spans="1:7">
      <c r="A26" s="30"/>
      <c r="B26" s="32" t="s">
        <v>17</v>
      </c>
      <c r="C26" s="28">
        <v>0.75</v>
      </c>
      <c r="D26" s="27">
        <f>C26/C39*D39</f>
        <v>47038.567438692102</v>
      </c>
      <c r="E26" s="27">
        <f>D26/$D$35*100</f>
        <v>5.108991825613078</v>
      </c>
      <c r="F26" s="27">
        <f>C26/C39*F39</f>
        <v>47297.581573569478</v>
      </c>
      <c r="G26" s="26">
        <f>11065-G29</f>
        <v>7745.5</v>
      </c>
    </row>
    <row r="27" spans="1:7" ht="19.5">
      <c r="A27" s="23" t="s">
        <v>16</v>
      </c>
      <c r="B27" s="22" t="s">
        <v>15</v>
      </c>
      <c r="C27" s="10">
        <f>C28+C29</f>
        <v>1.6400000000000001</v>
      </c>
      <c r="D27" s="21">
        <f>D28+D29</f>
        <v>102857.66746594006</v>
      </c>
      <c r="E27" s="21">
        <f>E28+E29</f>
        <v>11.171662125340598</v>
      </c>
      <c r="F27" s="20">
        <f>F28+F29</f>
        <v>103424.04504087193</v>
      </c>
      <c r="G27" s="19">
        <f>G28+G29</f>
        <v>37234.5</v>
      </c>
    </row>
    <row r="28" spans="1:7">
      <c r="A28" s="30"/>
      <c r="B28" s="29" t="s">
        <v>14</v>
      </c>
      <c r="C28" s="28">
        <v>0.84</v>
      </c>
      <c r="D28" s="27">
        <f>C28/C39*D39</f>
        <v>52683.19553133515</v>
      </c>
      <c r="E28" s="27">
        <f>D28/$D$35*100</f>
        <v>5.7220708446866473</v>
      </c>
      <c r="F28" s="27">
        <f>C28/C39*F39</f>
        <v>52973.291362397817</v>
      </c>
      <c r="G28" s="26">
        <v>33915</v>
      </c>
    </row>
    <row r="29" spans="1:7">
      <c r="A29" s="30"/>
      <c r="B29" s="29" t="s">
        <v>13</v>
      </c>
      <c r="C29" s="28">
        <v>0.8</v>
      </c>
      <c r="D29" s="27">
        <f>C29/C39*D39</f>
        <v>50174.471934604917</v>
      </c>
      <c r="E29" s="27">
        <f>D29/$D$35*100</f>
        <v>5.4495912806539506</v>
      </c>
      <c r="F29" s="27">
        <f>C29/C39*F39</f>
        <v>50450.753678474117</v>
      </c>
      <c r="G29" s="26">
        <f>11065*0.3</f>
        <v>3319.5</v>
      </c>
    </row>
    <row r="30" spans="1:7" ht="19.5">
      <c r="A30" s="23" t="s">
        <v>12</v>
      </c>
      <c r="B30" s="22" t="s">
        <v>11</v>
      </c>
      <c r="C30" s="10">
        <v>1.21</v>
      </c>
      <c r="D30" s="25">
        <f>C30/C39*D39</f>
        <v>75888.888801089925</v>
      </c>
      <c r="E30" s="25">
        <f>D30/$D$35*100</f>
        <v>8.2425068119891005</v>
      </c>
      <c r="F30" s="25">
        <f>C30/C39*F39</f>
        <v>76306.764938692097</v>
      </c>
      <c r="G30" s="19">
        <f>1.29*G11*12</f>
        <v>72598.104000000007</v>
      </c>
    </row>
    <row r="31" spans="1:7" ht="19.5">
      <c r="A31" s="23" t="s">
        <v>10</v>
      </c>
      <c r="B31" s="22" t="s">
        <v>9</v>
      </c>
      <c r="C31" s="10">
        <f>C32+C33</f>
        <v>2.8600000000000003</v>
      </c>
      <c r="D31" s="21">
        <f>SUM(D32:D33)</f>
        <v>179373.73716621255</v>
      </c>
      <c r="E31" s="21">
        <f>SUM(E32:E33)</f>
        <v>19.482288828337875</v>
      </c>
      <c r="F31" s="20">
        <f>SUM(F32:F33)</f>
        <v>180361.44440054498</v>
      </c>
      <c r="G31" s="19">
        <f>G32+G33</f>
        <v>348358.34399999998</v>
      </c>
    </row>
    <row r="32" spans="1:7" ht="19.5">
      <c r="A32" s="18"/>
      <c r="B32" s="29" t="s">
        <v>50</v>
      </c>
      <c r="C32" s="28">
        <v>2.08</v>
      </c>
      <c r="D32" s="27">
        <f>C32/C39*D39</f>
        <v>130453.62702997278</v>
      </c>
      <c r="E32" s="27">
        <f>D32/$D$35*100</f>
        <v>14.168937329700274</v>
      </c>
      <c r="F32" s="27">
        <f>C32/C39*F39</f>
        <v>131171.9595640327</v>
      </c>
      <c r="G32" s="31">
        <f>2.26*G11*12</f>
        <v>127187.376</v>
      </c>
    </row>
    <row r="33" spans="1:7">
      <c r="A33" s="30"/>
      <c r="B33" s="29" t="s">
        <v>51</v>
      </c>
      <c r="C33" s="28">
        <v>0.78</v>
      </c>
      <c r="D33" s="27">
        <f>C33/C39*D39</f>
        <v>48920.110136239782</v>
      </c>
      <c r="E33" s="27">
        <f>D33/$D$35*100</f>
        <v>5.3133514986376014</v>
      </c>
      <c r="F33" s="27">
        <f>C33/C39*F39</f>
        <v>49189.48483651226</v>
      </c>
      <c r="G33" s="26">
        <f xml:space="preserve"> 3.93*G11*12</f>
        <v>221170.96799999999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50174.471934604917</v>
      </c>
      <c r="E34" s="25">
        <f>D34/$D$35*100</f>
        <v>5.4495912806539506</v>
      </c>
      <c r="F34" s="25">
        <f>C34/C39*F39</f>
        <v>50450.753678474117</v>
      </c>
      <c r="G34" s="19">
        <f xml:space="preserve"> 1.01*G11*12</f>
        <v>56840.376000000004</v>
      </c>
    </row>
    <row r="35" spans="1:7" ht="19.5">
      <c r="A35" s="23"/>
      <c r="B35" s="22" t="s">
        <v>6</v>
      </c>
      <c r="C35" s="10">
        <f>C17+C24+C27+C30+C31+C34</f>
        <v>14.68</v>
      </c>
      <c r="D35" s="21">
        <f>(D17+D24+D27+D30+D31+D34)</f>
        <v>920701.56000000017</v>
      </c>
      <c r="E35" s="24">
        <f>D35/$D$35*100</f>
        <v>100</v>
      </c>
      <c r="F35" s="20">
        <f>F17+F24+F27+F30+F31+F34</f>
        <v>925771.33</v>
      </c>
      <c r="G35" s="19">
        <f>G17+G24+G27+G30+G31+G34</f>
        <v>823798.16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14.68</v>
      </c>
      <c r="D39" s="9">
        <v>920701.56</v>
      </c>
      <c r="E39" s="9">
        <f>E35+E37</f>
        <v>118</v>
      </c>
      <c r="F39" s="8">
        <v>925771.33</v>
      </c>
      <c r="G39" s="7">
        <f>G35+G36</f>
        <v>823798.16</v>
      </c>
    </row>
    <row r="40" spans="1:7">
      <c r="D40" s="2" t="s">
        <v>4</v>
      </c>
      <c r="F40" s="6">
        <f>F39/D39</f>
        <v>1.0055064205604256</v>
      </c>
    </row>
    <row r="41" spans="1:7">
      <c r="D41" s="4"/>
      <c r="E41" s="3"/>
      <c r="F41" s="3"/>
      <c r="G41" s="3"/>
    </row>
    <row r="42" spans="1:7" ht="18.75">
      <c r="A42" s="5"/>
      <c r="B42" s="4" t="s">
        <v>48</v>
      </c>
      <c r="C42" s="3">
        <v>181996.96</v>
      </c>
      <c r="D42" s="3" t="s">
        <v>2</v>
      </c>
    </row>
    <row r="43" spans="1:7" ht="18.75">
      <c r="A43" s="5"/>
      <c r="B43" s="4" t="s">
        <v>49</v>
      </c>
      <c r="C43" s="3">
        <f>D39-F39</f>
        <v>-5069.7699999999022</v>
      </c>
      <c r="D43" s="3" t="s">
        <v>2</v>
      </c>
    </row>
    <row r="44" spans="1:7" ht="18.75">
      <c r="A44" s="5"/>
      <c r="B44" s="4" t="s">
        <v>1</v>
      </c>
      <c r="C44" s="3">
        <f>C42+C43</f>
        <v>176927.19000000009</v>
      </c>
      <c r="D44" s="3" t="s">
        <v>2</v>
      </c>
    </row>
    <row r="45" spans="1:7" ht="18.75">
      <c r="A45" s="5"/>
      <c r="B45" s="4"/>
      <c r="C45" s="3"/>
      <c r="D45" s="3"/>
      <c r="E45" s="1"/>
      <c r="F45" s="1"/>
      <c r="G45" s="1"/>
    </row>
    <row r="49" spans="2:7">
      <c r="B49" s="1" t="s">
        <v>0</v>
      </c>
      <c r="E49" s="1"/>
      <c r="F49" s="1"/>
      <c r="G49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МЖК 1</vt:lpstr>
      <vt:lpstr>МЖК 7</vt:lpstr>
      <vt:lpstr>МЖК 9</vt:lpstr>
      <vt:lpstr>МЖК 10</vt:lpstr>
      <vt:lpstr>МЖК 11</vt:lpstr>
      <vt:lpstr>МЖК 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2015-03-03T05:41:58Z</dcterms:modified>
</cp:coreProperties>
</file>